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customProperty5.bin" ContentType="application/vnd.openxmlformats-officedocument.spreadsheetml.customProperty"/>
  <Override PartName="/xl/calcChain.xml" ContentType="application/vnd.openxmlformats-officedocument.spreadsheetml.calcChain+xml"/>
  <Override PartName="/xl/customProperty3.bin" ContentType="application/vnd.openxmlformats-officedocument.spreadsheetml.customProperty"/>
  <Override PartName="/xl/externalLinks/externalLink1.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G:\Env_Rev\Grant Programs\TFCA PROGRAM\WORKSHTS\EXCEL\2027\"/>
    </mc:Choice>
  </mc:AlternateContent>
  <xr:revisionPtr revIDLastSave="0" documentId="13_ncr:1_{C7B1852C-7999-4EC6-8D4F-55815DF5B2F3}" xr6:coauthVersionLast="47" xr6:coauthVersionMax="47" xr10:uidLastSave="{00000000-0000-0000-0000-000000000000}"/>
  <workbookProtection workbookAlgorithmName="SHA-512" workbookHashValue="R9KwXuSMNpH7YJk4Z/hcU3Fzg2kKVnlRAHlRm2xRO90yOGpMEOS8ipNw8gs1lDA8KUPJdupIHb0oc903P/AbBQ==" workbookSaltValue="qP1xYWtFUX7NSfFVL1SPDw==" workbookSpinCount="100000" lockStructure="1"/>
  <bookViews>
    <workbookView xWindow="-110" yWindow="-110" windowWidth="22780" windowHeight="14540" activeTab="1" xr2:uid="{00000000-000D-0000-FFFF-FFFF00000000}"/>
  </bookViews>
  <sheets>
    <sheet name="Instructions" sheetId="6" r:id="rId1"/>
    <sheet name="Gen'l Info" sheetId="5" r:id="rId2"/>
    <sheet name="CE Calc" sheetId="1" r:id="rId3"/>
    <sheet name="Notes &amp; Assumptions" sheetId="2" r:id="rId4"/>
    <sheet name="Emission Factors" sheetId="7" r:id="rId5"/>
  </sheets>
  <externalReferences>
    <externalReference r:id="rId6"/>
  </externalReferences>
  <definedNames>
    <definedName name="Annual_CO2_Emissions">'CE Calc'!$D$31</definedName>
    <definedName name="Annual_Emission_Reductions_ROG_NOx_PM">'CE Calc'!$D$32</definedName>
    <definedName name="Annual_NOx_Emissions">'CE Calc'!$D$28</definedName>
    <definedName name="Annual_PM_Emissions">'CE Calc'!$D$29</definedName>
    <definedName name="Annual_ROG_Emissions">'CE Calc'!$D$27</definedName>
    <definedName name="Annual_Trips_Reduced">'CE Calc'!$P$28</definedName>
    <definedName name="Annual_VMT_Reduction">'CE Calc'!$P$27</definedName>
    <definedName name="Annual_Weighted_PM_Emissions">'CE Calc'!$D$30</definedName>
    <definedName name="Application_Number">'CE Calc'!#REF!</definedName>
    <definedName name="Avg._Vehicle_Trip_Length">'Emission Factors'!$H$7</definedName>
    <definedName name="BVMT">'CE Calc'!#REF!</definedName>
    <definedName name="BVMTNOxfactor">'CE Calc'!#REF!</definedName>
    <definedName name="BVMTPM10factor">'CE Calc'!#REF!</definedName>
    <definedName name="BVMTROGfactor">'CE Calc'!#REF!</definedName>
    <definedName name="CoFund">'CE Calc'!#REF!</definedName>
    <definedName name="Disadvantaged_Community_Points">'CE Calc'!$K$31</definedName>
    <definedName name="DisVMT">'CE Calc'!#REF!</definedName>
    <definedName name="DVMTNOxfactor">'CE Calc'!#REF!</definedName>
    <definedName name="DVMTROGfactor">'CE Calc'!#REF!</definedName>
    <definedName name="Final_Report_Date_PM">'CE Calc'!#REF!</definedName>
    <definedName name="Incremental_Cost">'CE Calc'!#REF!</definedName>
    <definedName name="Lifetime_CO2_Emissions">'CE Calc'!$E$31</definedName>
    <definedName name="Lifetime_Emission_Reductions_ROG_NOx">'CE Calc'!#REF!</definedName>
    <definedName name="Lifetime_Emission_Reductions_ROG_NOx_PM">'CE Calc'!$E$32</definedName>
    <definedName name="Lifetime_NOx_Emissions">'CE Calc'!$E$28</definedName>
    <definedName name="Lifetime_PM_Emissions">'CE Calc'!$E$29</definedName>
    <definedName name="Lifetime_ROG_Emissions">'CE Calc'!$E$27</definedName>
    <definedName name="Lifetime_Trips_Reduced">'CE Calc'!$Q$28</definedName>
    <definedName name="Lifetime_VMT_Reduction">'CE Calc'!$Q$27</definedName>
    <definedName name="Lifetime_Weighted_PM_Emissions">'CE Calc'!$E$30</definedName>
    <definedName name="Local_Clean_Air_Planning_Points">'CE Calc'!$K$30</definedName>
    <definedName name="NOx_Emissions_W_Project">'CE Calc'!#REF!</definedName>
    <definedName name="NOx_Emissions_WO_Project">'CE Calc'!#REF!</definedName>
    <definedName name="Other_Project_Attributes_Points">'CE Calc'!$K$29</definedName>
    <definedName name="_xlnm.Print_Area" localSheetId="2">'CE Calc'!$A$1:$L$36</definedName>
    <definedName name="_xlnm.Print_Area" localSheetId="0">Instructions!$A$2:$L$57</definedName>
    <definedName name="Project_Sponsor">'CE Calc'!#REF!</definedName>
    <definedName name="Project_Sponsor_Address">'CE Calc'!#REF!</definedName>
    <definedName name="Project_Sponsor_City">'CE Calc'!$G$10</definedName>
    <definedName name="Project_Sponsor_City_Zip">'CE Calc'!$G$10</definedName>
    <definedName name="Project_Sponsor_Contact">'CE Calc'!#REF!</definedName>
    <definedName name="Project_Sponsor_Email">'CE Calc'!$G$9</definedName>
    <definedName name="Project_Sponsor_Phone_Number">'CE Calc'!#REF!</definedName>
    <definedName name="Project_Sponsor_Zip">'CE Calc'!$F$11</definedName>
    <definedName name="Project_Sponsor_Zip_Code">'CE Calc'!$F$11</definedName>
    <definedName name="Project_Start_Date">'CE Calc'!#REF!</definedName>
    <definedName name="Project_Title">'CE Calc'!#REF!</definedName>
    <definedName name="Project_Type_Code">'CE Calc'!$G$7</definedName>
    <definedName name="Promote_Alternative_Transportation_Modes">'CE Calc'!$K$33</definedName>
    <definedName name="Public_Private">'CE Calc'!$I$51</definedName>
    <definedName name="ROG_Emissions_W_Project">'CE Calc'!#REF!</definedName>
    <definedName name="ROG_Emissions_WO_Project">'CE Calc'!#REF!</definedName>
    <definedName name="TFCA_Cost_40_Percent">'CE Calc'!$C$10</definedName>
    <definedName name="TFCA_Cost_60_Percent">'CE Calc'!$C$11</definedName>
    <definedName name="TFCA_Cost_Effectiveness">'CE Calc'!$E$33</definedName>
    <definedName name="TFCA_Funding_Effectiveness_Points">'CE Calc'!$K$28</definedName>
    <definedName name="TFCA_Weighted_Cost_Effectiveness">'CE Calc'!$E$34</definedName>
    <definedName name="Total_Cost_Effectiveness">'CE Calc'!$E$34</definedName>
    <definedName name="Total_Points">'CE Calc'!$K$34</definedName>
    <definedName name="Total_Project_Cost">'CE Calc'!$C$9</definedName>
    <definedName name="Total_TFCA_Cost">'CE Calc'!$C$12</definedName>
    <definedName name="Yrs_Effectiveness">'CE Calc'!$C$8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9" i="7" l="1"/>
  <c r="E64" i="7"/>
  <c r="E59" i="7"/>
  <c r="E54" i="7"/>
  <c r="E49" i="7"/>
  <c r="E44" i="7"/>
  <c r="E39" i="7"/>
  <c r="E34" i="7"/>
  <c r="E29" i="7"/>
  <c r="E24" i="7"/>
  <c r="E19" i="7"/>
  <c r="E14" i="7"/>
  <c r="E9" i="7"/>
  <c r="B31" i="5" l="1"/>
  <c r="B30" i="5"/>
  <c r="B29" i="5"/>
  <c r="K16" i="7"/>
  <c r="K15" i="7"/>
  <c r="K14" i="7"/>
  <c r="K13" i="7"/>
  <c r="K12" i="7"/>
  <c r="K11" i="7"/>
  <c r="K10" i="7"/>
  <c r="K9" i="7"/>
  <c r="E10" i="7" l="1"/>
  <c r="D11" i="7"/>
  <c r="E11" i="7"/>
  <c r="E12" i="7"/>
  <c r="E13" i="7"/>
  <c r="E15" i="7"/>
  <c r="E16" i="7"/>
  <c r="E17" i="7"/>
  <c r="E18" i="7"/>
  <c r="E20" i="7"/>
  <c r="E21" i="7"/>
  <c r="E22" i="7"/>
  <c r="E23" i="7"/>
  <c r="E25" i="7"/>
  <c r="E26" i="7"/>
  <c r="E27" i="7"/>
  <c r="E28" i="7"/>
  <c r="E30" i="7"/>
  <c r="E31" i="7"/>
  <c r="E32" i="7"/>
  <c r="E33" i="7"/>
  <c r="E35" i="7"/>
  <c r="E36" i="7"/>
  <c r="E37" i="7"/>
  <c r="E38" i="7"/>
  <c r="E40" i="7"/>
  <c r="E41" i="7"/>
  <c r="E42" i="7"/>
  <c r="E43" i="7"/>
  <c r="E45" i="7"/>
  <c r="E46" i="7"/>
  <c r="E47" i="7"/>
  <c r="E48" i="7"/>
  <c r="D9" i="7"/>
  <c r="M17" i="1"/>
  <c r="K36" i="7"/>
  <c r="D36" i="7" s="1"/>
  <c r="D10" i="7"/>
  <c r="M21" i="1"/>
  <c r="O21" i="1"/>
  <c r="S21" i="1"/>
  <c r="D12" i="7"/>
  <c r="D13" i="7"/>
  <c r="D14" i="7"/>
  <c r="D15" i="7"/>
  <c r="D16" i="7"/>
  <c r="K17" i="7"/>
  <c r="D17" i="7" s="1"/>
  <c r="K18" i="7"/>
  <c r="D18" i="7" s="1"/>
  <c r="K19" i="7"/>
  <c r="D19" i="7" s="1"/>
  <c r="K20" i="7"/>
  <c r="D20" i="7" s="1"/>
  <c r="K21" i="7"/>
  <c r="D21" i="7" s="1"/>
  <c r="K22" i="7"/>
  <c r="D22" i="7" s="1"/>
  <c r="K23" i="7"/>
  <c r="D23" i="7" s="1"/>
  <c r="K24" i="7"/>
  <c r="D24" i="7" s="1"/>
  <c r="K25" i="7"/>
  <c r="D25" i="7" s="1"/>
  <c r="K26" i="7"/>
  <c r="D26" i="7" s="1"/>
  <c r="K27" i="7"/>
  <c r="D27" i="7" s="1"/>
  <c r="K28" i="7"/>
  <c r="D28" i="7" s="1"/>
  <c r="K29" i="7"/>
  <c r="D29" i="7" s="1"/>
  <c r="K30" i="7"/>
  <c r="D30" i="7" s="1"/>
  <c r="K31" i="7"/>
  <c r="D31" i="7" s="1"/>
  <c r="K32" i="7"/>
  <c r="D32" i="7" s="1"/>
  <c r="K33" i="7"/>
  <c r="D33" i="7" s="1"/>
  <c r="K34" i="7"/>
  <c r="D34" i="7" s="1"/>
  <c r="K35" i="7"/>
  <c r="D35" i="7" s="1"/>
  <c r="K37" i="7"/>
  <c r="D37" i="7" s="1"/>
  <c r="K38" i="7"/>
  <c r="D38" i="7" s="1"/>
  <c r="N18" i="1"/>
  <c r="R18" i="1" s="1"/>
  <c r="M18" i="1"/>
  <c r="O18" i="1" s="1"/>
  <c r="Q18" i="1" s="1"/>
  <c r="H18" i="1"/>
  <c r="C12" i="1"/>
  <c r="K39" i="7"/>
  <c r="D39" i="7" s="1"/>
  <c r="K40" i="7"/>
  <c r="D40" i="7" s="1"/>
  <c r="K41" i="7"/>
  <c r="D41" i="7" s="1"/>
  <c r="K42" i="7"/>
  <c r="D42" i="7" s="1"/>
  <c r="K43" i="7"/>
  <c r="D43" i="7" s="1"/>
  <c r="K44" i="7"/>
  <c r="D44" i="7" s="1"/>
  <c r="K45" i="7"/>
  <c r="D45" i="7" s="1"/>
  <c r="K46" i="7"/>
  <c r="D46" i="7" s="1"/>
  <c r="K47" i="7"/>
  <c r="D47" i="7" s="1"/>
  <c r="K48" i="7"/>
  <c r="D48" i="7" s="1"/>
  <c r="K49" i="7"/>
  <c r="D49" i="7" s="1"/>
  <c r="K50" i="7"/>
  <c r="D50" i="7" s="1"/>
  <c r="K51" i="7"/>
  <c r="D51" i="7" s="1"/>
  <c r="K52" i="7"/>
  <c r="D52" i="7" s="1"/>
  <c r="K53" i="7"/>
  <c r="D53" i="7" s="1"/>
  <c r="K54" i="7"/>
  <c r="D54" i="7" s="1"/>
  <c r="K55" i="7"/>
  <c r="D55" i="7" s="1"/>
  <c r="K56" i="7"/>
  <c r="D56" i="7" s="1"/>
  <c r="K57" i="7"/>
  <c r="D57" i="7" s="1"/>
  <c r="K58" i="7"/>
  <c r="D58" i="7" s="1"/>
  <c r="K59" i="7"/>
  <c r="D59" i="7" s="1"/>
  <c r="K60" i="7"/>
  <c r="D60" i="7" s="1"/>
  <c r="K61" i="7"/>
  <c r="D61" i="7" s="1"/>
  <c r="K62" i="7"/>
  <c r="D62" i="7" s="1"/>
  <c r="K63" i="7"/>
  <c r="D63" i="7" s="1"/>
  <c r="K64" i="7"/>
  <c r="D64" i="7" s="1"/>
  <c r="K65" i="7"/>
  <c r="D65" i="7" s="1"/>
  <c r="K66" i="7"/>
  <c r="D66" i="7" s="1"/>
  <c r="K67" i="7"/>
  <c r="D67" i="7" s="1"/>
  <c r="K68" i="7"/>
  <c r="D68" i="7" s="1"/>
  <c r="K69" i="7"/>
  <c r="D69" i="7" s="1"/>
  <c r="E68" i="7"/>
  <c r="E67" i="7"/>
  <c r="E66" i="7"/>
  <c r="E65" i="7"/>
  <c r="E63" i="7"/>
  <c r="E62" i="7"/>
  <c r="E61" i="7"/>
  <c r="E60" i="7"/>
  <c r="E58" i="7"/>
  <c r="E57" i="7"/>
  <c r="E56" i="7"/>
  <c r="E55" i="7"/>
  <c r="E53" i="7"/>
  <c r="E52" i="7"/>
  <c r="E51" i="7"/>
  <c r="E50" i="7"/>
  <c r="M19" i="1"/>
  <c r="O19" i="1" s="1"/>
  <c r="W19" i="1" s="1"/>
  <c r="N19" i="1"/>
  <c r="P19" i="1" s="1"/>
  <c r="M20" i="1"/>
  <c r="N20" i="1"/>
  <c r="P20" i="1"/>
  <c r="N21" i="1"/>
  <c r="V21" i="1"/>
  <c r="M22" i="1"/>
  <c r="O22" i="1"/>
  <c r="S22" i="1"/>
  <c r="N22" i="1"/>
  <c r="P22" i="1"/>
  <c r="M23" i="1"/>
  <c r="N23" i="1"/>
  <c r="H19" i="1"/>
  <c r="H20" i="1"/>
  <c r="H21" i="1"/>
  <c r="H22" i="1"/>
  <c r="H23" i="1"/>
  <c r="N17" i="1"/>
  <c r="H17" i="1"/>
  <c r="O17" i="1"/>
  <c r="R20" i="1"/>
  <c r="V20" i="1"/>
  <c r="V23" i="1"/>
  <c r="R21" i="1"/>
  <c r="P21" i="1"/>
  <c r="R23" i="1"/>
  <c r="Q17" i="1"/>
  <c r="S17" i="1"/>
  <c r="W22" i="1"/>
  <c r="P17" i="1"/>
  <c r="Q22" i="1"/>
  <c r="R22" i="1"/>
  <c r="R17" i="1"/>
  <c r="V22" i="1"/>
  <c r="O23" i="1"/>
  <c r="W23" i="1"/>
  <c r="Q21" i="1"/>
  <c r="P23" i="1"/>
  <c r="O20" i="1"/>
  <c r="Q20" i="1"/>
  <c r="W17" i="1"/>
  <c r="S23" i="1"/>
  <c r="S20" i="1"/>
  <c r="Q23" i="1"/>
  <c r="W21" i="1"/>
  <c r="W20" i="1"/>
  <c r="W18" i="1" l="1"/>
  <c r="P18" i="1"/>
  <c r="I18" i="1" s="1"/>
  <c r="V18" i="1"/>
  <c r="S18" i="1"/>
  <c r="J18" i="1" s="1"/>
  <c r="S19" i="1"/>
  <c r="Q19" i="1"/>
  <c r="I19" i="1" s="1"/>
  <c r="V19" i="1"/>
  <c r="L19" i="1" s="1"/>
  <c r="R19" i="1"/>
  <c r="T17" i="1"/>
  <c r="U17" i="1"/>
  <c r="T23" i="1"/>
  <c r="U20" i="1"/>
  <c r="U21" i="1"/>
  <c r="U19" i="1"/>
  <c r="U23" i="1"/>
  <c r="T22" i="1"/>
  <c r="T20" i="1"/>
  <c r="U22" i="1"/>
  <c r="T18" i="1"/>
  <c r="U18" i="1"/>
  <c r="T21" i="1"/>
  <c r="T19" i="1"/>
  <c r="V17" i="1"/>
  <c r="L17" i="1" s="1"/>
  <c r="L20" i="1"/>
  <c r="I22" i="1"/>
  <c r="J17" i="1"/>
  <c r="J20" i="1"/>
  <c r="J22" i="1"/>
  <c r="I21" i="1"/>
  <c r="I17" i="1"/>
  <c r="I20" i="1"/>
  <c r="J21" i="1"/>
  <c r="L21" i="1"/>
  <c r="I23" i="1"/>
  <c r="L22" i="1"/>
  <c r="J23" i="1"/>
  <c r="L23" i="1"/>
  <c r="L18" i="1" l="1"/>
  <c r="L24" i="1" s="1"/>
  <c r="D31" i="1" s="1"/>
  <c r="J19" i="1"/>
  <c r="J24" i="1" s="1"/>
  <c r="D28" i="1" s="1"/>
  <c r="K17" i="1"/>
  <c r="K21" i="1"/>
  <c r="K19" i="1"/>
  <c r="K18" i="1"/>
  <c r="K23" i="1"/>
  <c r="K20" i="1"/>
  <c r="K22" i="1"/>
  <c r="I24" i="1"/>
  <c r="D27" i="1" s="1"/>
  <c r="E31" i="1" l="1"/>
  <c r="B35" i="5"/>
  <c r="E27" i="1"/>
  <c r="B32" i="5"/>
  <c r="E28" i="1"/>
  <c r="B33" i="5"/>
  <c r="K24" i="1"/>
  <c r="D29" i="1" s="1"/>
  <c r="D30" i="1" l="1"/>
  <c r="E30" i="1" s="1"/>
  <c r="E34" i="1" s="1"/>
  <c r="B37" i="5" s="1"/>
  <c r="B34" i="5"/>
  <c r="D32" i="1"/>
  <c r="E32" i="1" s="1"/>
  <c r="E29" i="1"/>
  <c r="E33" i="1" s="1"/>
  <c r="B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Hui</author>
    <author>Geraldina Grunbaum</author>
    <author>David Wiley</author>
  </authors>
  <commentList>
    <comment ref="L16" authorId="0" shapeId="0" xr:uid="{00000000-0006-0000-0200-000001000000}">
      <text>
        <r>
          <rPr>
            <b/>
            <sz val="9"/>
            <color indexed="81"/>
            <rFont val="Tahoma"/>
            <family val="2"/>
          </rPr>
          <t>Linda Hui:</t>
        </r>
        <r>
          <rPr>
            <sz val="9"/>
            <color indexed="81"/>
            <rFont val="Tahoma"/>
            <family val="2"/>
          </rPr>
          <t xml:space="preserve">
C02 values are not updated (12/17/2014)</t>
        </r>
      </text>
    </comment>
    <comment ref="A30" authorId="1" shapeId="0" xr:uid="{00000000-0006-0000-0200-000002000000}">
      <text>
        <r>
          <rPr>
            <sz val="8"/>
            <color indexed="81"/>
            <rFont val="Tahoma"/>
            <family val="2"/>
          </rPr>
          <t>Weighted PM 10 means that tailpipe PM emissions have been multiplied by factor of 20, consistent w CARB methodology for Carl Moyer Program, to reflect the negative impact of tailpipe PM on public health.</t>
        </r>
      </text>
    </comment>
    <comment ref="A34" authorId="2" shapeId="0" xr:uid="{00000000-0006-0000-0200-000003000000}">
      <text>
        <r>
          <rPr>
            <b/>
            <sz val="8"/>
            <color indexed="81"/>
            <rFont val="Tahoma"/>
            <family val="2"/>
          </rPr>
          <t>David Wiley:</t>
        </r>
        <r>
          <rPr>
            <sz val="8"/>
            <color indexed="81"/>
            <rFont val="Tahoma"/>
            <family val="2"/>
          </rPr>
          <t xml:space="preserve">
Weighted PM 10 means that tailpipe PM emissions have been multiplied by factor of 20, consistent w CARB methodology for Carl Moyer Program.</t>
        </r>
      </text>
    </comment>
  </commentList>
</comments>
</file>

<file path=xl/sharedStrings.xml><?xml version="1.0" encoding="utf-8"?>
<sst xmlns="http://schemas.openxmlformats.org/spreadsheetml/2006/main" count="216" uniqueCount="166">
  <si>
    <t>Zip</t>
  </si>
  <si>
    <t>Project Schedule</t>
  </si>
  <si>
    <t>Project Start Date</t>
  </si>
  <si>
    <t>Project Completion Date</t>
  </si>
  <si>
    <t>Cost Effectiveness Inputs</t>
  </si>
  <si>
    <t>Sources:</t>
  </si>
  <si>
    <t>Average Speed w/ Avg. Increase</t>
  </si>
  <si>
    <t>7AM - 9AM</t>
  </si>
  <si>
    <t>Emission Factors</t>
  </si>
  <si>
    <t># Years Effectiveness:</t>
  </si>
  <si>
    <t>Total Project Cost:</t>
  </si>
  <si>
    <t>TFCA Cost 40%:</t>
  </si>
  <si>
    <t>TFCA Cost 60%:</t>
  </si>
  <si>
    <t>Total TFCA Cost:</t>
  </si>
  <si>
    <t>Emission Reduction Calculations</t>
  </si>
  <si>
    <t>A</t>
  </si>
  <si>
    <t>B</t>
  </si>
  <si>
    <t>C</t>
  </si>
  <si>
    <t>D</t>
  </si>
  <si>
    <t>E</t>
  </si>
  <si>
    <t>F</t>
  </si>
  <si>
    <t>G</t>
  </si>
  <si>
    <t>H</t>
  </si>
  <si>
    <t>I</t>
  </si>
  <si>
    <t>J</t>
  </si>
  <si>
    <t>K</t>
  </si>
  <si>
    <t>Segment Length (miles)</t>
  </si>
  <si>
    <t>Days/Yr.</t>
  </si>
  <si>
    <t>Time Period</t>
  </si>
  <si>
    <t>Travel Speed w/o Project</t>
  </si>
  <si>
    <t>Travel Speed w/ Project</t>
  </si>
  <si>
    <t>Percent Speed Increase</t>
  </si>
  <si>
    <t>ROG Emission Reductions (lbs/yr)</t>
  </si>
  <si>
    <t>NOx Emission Reductions (lbs/yr)</t>
  </si>
  <si>
    <t>CO2 Emission Reductions (lbs/yr)</t>
  </si>
  <si>
    <t>Total Emission Reductions</t>
  </si>
  <si>
    <t>Cost Effectiveness Results</t>
  </si>
  <si>
    <t>Annual</t>
  </si>
  <si>
    <t>Lifetime</t>
  </si>
  <si>
    <t>/Ton</t>
  </si>
  <si>
    <t>Average Emission Factors by Speed</t>
  </si>
  <si>
    <t>Speed (mph)</t>
  </si>
  <si>
    <t>ROG (gr/mile)</t>
  </si>
  <si>
    <t>NOx (gr/mile)</t>
  </si>
  <si>
    <t>Tons</t>
  </si>
  <si>
    <t>Fraction of Speed w/o Project</t>
  </si>
  <si>
    <t>ROG Emission Factor w/o Project</t>
  </si>
  <si>
    <t>ROG Emission Factor w/ Project</t>
  </si>
  <si>
    <t>NOx Emission Factor w/o Project</t>
  </si>
  <si>
    <t>NOx Emission Factor w/ Project</t>
  </si>
  <si>
    <t>CO2 Emission Factor w/o Project</t>
  </si>
  <si>
    <t>CO2 Emission Factor w/ Project</t>
  </si>
  <si>
    <t>Fraction of Speed w/ Project</t>
  </si>
  <si>
    <t>PM Emission Factor w/o Project</t>
  </si>
  <si>
    <t>PM Emission Factor w/ Project</t>
  </si>
  <si>
    <t>L</t>
  </si>
  <si>
    <t>PM Emission Reductions (lbs/yr)</t>
  </si>
  <si>
    <t>Notes &amp; Assumptions</t>
  </si>
  <si>
    <t>PM10 Ex (gr/mile)</t>
  </si>
  <si>
    <t>ARTERIAL MANAGEMENT PROJECTS</t>
  </si>
  <si>
    <r>
      <t xml:space="preserve">General Information Tab:  </t>
    </r>
    <r>
      <rPr>
        <sz val="10"/>
        <rFont val="Arial"/>
        <family val="2"/>
      </rPr>
      <t>Complete areas shaded in yellow.</t>
    </r>
  </si>
  <si>
    <t>Project Title</t>
  </si>
  <si>
    <t>Project Type Code (e.g., 7a)</t>
  </si>
  <si>
    <t>Worksheet Calculated By</t>
  </si>
  <si>
    <t>Date of Submission</t>
  </si>
  <si>
    <t>Project Sponsor</t>
  </si>
  <si>
    <t>Project Sponsor Organization</t>
  </si>
  <si>
    <t>Public Agency? (Y or N)</t>
  </si>
  <si>
    <t>Contact Name</t>
  </si>
  <si>
    <t>Email Address</t>
  </si>
  <si>
    <t>Phone Number</t>
  </si>
  <si>
    <t>Mailing Address</t>
  </si>
  <si>
    <t>City</t>
  </si>
  <si>
    <t>State</t>
  </si>
  <si>
    <t>4. Weighted PM Emissions</t>
  </si>
  <si>
    <t>5. CO2 Emissions Reduced</t>
  </si>
  <si>
    <t>6. Emission Reductions (ROG, NOx &amp; PM)</t>
  </si>
  <si>
    <t>7. TFCA Project Cost - Cost Effectiveness (ROG, NOx &amp; PM)</t>
  </si>
  <si>
    <t>1. ROG Emissions</t>
  </si>
  <si>
    <t>2. NOx Emissions</t>
  </si>
  <si>
    <t>3. PM Emissions</t>
  </si>
  <si>
    <t>Traffic Volume During Time Period</t>
  </si>
  <si>
    <t>SAMPLE--San Pablo, Northbound</t>
  </si>
  <si>
    <t>Name of Arterial, Direction</t>
  </si>
  <si>
    <t>County (2-3 character abbreviation)</t>
  </si>
  <si>
    <t>TFCA Regional Fund Proj. #:</t>
  </si>
  <si>
    <t>PM2.5 Ex (gr/mile)</t>
  </si>
  <si>
    <t>Conversion factor, PM2.5 to PM10</t>
  </si>
  <si>
    <t>http://www.baaqmd.gov/tfca4pm</t>
  </si>
  <si>
    <t>Conversion factors from PM2.5 to PM10 for Exhaust - ARB document: http://www.arb.ca.gov/planning/tsaq/eval/pmtables.pdf. As of July 2013.</t>
  </si>
  <si>
    <t>N/A</t>
  </si>
  <si>
    <r>
      <t xml:space="preserve">Calculations Tab:  </t>
    </r>
    <r>
      <rPr>
        <sz val="11"/>
        <rFont val="Arial"/>
        <family val="2"/>
      </rPr>
      <t>Complete areas shaded in yellow.</t>
    </r>
  </si>
  <si>
    <r>
      <t xml:space="preserve">8.  TFCA Project Cost - Cost Effectiveness (ROG, NOx &amp; </t>
    </r>
    <r>
      <rPr>
        <b/>
        <sz val="12"/>
        <rFont val="Arial"/>
        <family val="2"/>
      </rPr>
      <t>Weighted</t>
    </r>
    <r>
      <rPr>
        <sz val="12"/>
        <rFont val="Arial"/>
        <family val="2"/>
      </rPr>
      <t xml:space="preserve"> PM). </t>
    </r>
    <r>
      <rPr>
        <sz val="12"/>
        <rFont val="Arial Rounded MT Bold"/>
        <family val="2"/>
      </rPr>
      <t xml:space="preserve"> </t>
    </r>
    <r>
      <rPr>
        <b/>
        <sz val="12"/>
        <rFont val="Arial Rounded MT Bold"/>
        <family val="2"/>
      </rPr>
      <t>THIS VALUE MUST MEET POLICY REQUIREMENTS.</t>
    </r>
  </si>
  <si>
    <t>Provide all assumptions, rationales, and references for inputs used in calculations.</t>
  </si>
  <si>
    <t>Project Category Specific Notes</t>
  </si>
  <si>
    <t>To qualify for (4) years of effectiveness, signals must be retimed after (2) years.</t>
  </si>
  <si>
    <t>Conversion factor for exhaust, see "conversion from PM2.5 to PM10, Auto" in the Trip Reduction CE Worksheet.</t>
  </si>
  <si>
    <t>CO2 (gr/mile)</t>
  </si>
  <si>
    <t>General Information Tab:  Complete areas shaded in yellow.</t>
  </si>
  <si>
    <t>Enter project number</t>
  </si>
  <si>
    <t>Enter a project title</t>
  </si>
  <si>
    <t>Enter code for project type. See Guidance or table above.</t>
  </si>
  <si>
    <t>Project Description</t>
  </si>
  <si>
    <t>Provide answers for who, what, when, and where for the project.</t>
  </si>
  <si>
    <t>Enter the same abbreviations as used in Project Number.</t>
  </si>
  <si>
    <t>Enter name of person completing the worksheet.</t>
  </si>
  <si>
    <t>Enter date submitted to the administering agency.</t>
  </si>
  <si>
    <t>Enter organization responsible for the project.</t>
  </si>
  <si>
    <t>Is the organization a public agency? Enter "Y" for yes and "N" for no.</t>
  </si>
  <si>
    <t xml:space="preserve">Enter name of individual responsible for implementing the project. </t>
  </si>
  <si>
    <t>Enter email address of contact</t>
  </si>
  <si>
    <t>Enter phone number of contact</t>
  </si>
  <si>
    <t>Enter mailing address of contact</t>
  </si>
  <si>
    <t>Enter mailing address city</t>
  </si>
  <si>
    <t>Enter mailing address state</t>
  </si>
  <si>
    <t>Enter mailing address zip</t>
  </si>
  <si>
    <t>Date work begins on a project. Note: Project must meet Readiness Policy
(Policy #6).</t>
  </si>
  <si>
    <r>
      <t xml:space="preserve">Date the project scope is estimated to be completed. For </t>
    </r>
    <r>
      <rPr>
        <b/>
        <sz val="10"/>
        <rFont val="Arial"/>
        <family val="2"/>
      </rPr>
      <t>Service projects’</t>
    </r>
    <r>
      <rPr>
        <sz val="10"/>
        <rFont val="Arial"/>
        <family val="2"/>
      </rPr>
      <t xml:space="preserve"> completion date: a project is completed after its Operational Period is completed. For </t>
    </r>
    <r>
      <rPr>
        <b/>
        <sz val="10"/>
        <rFont val="Arial"/>
        <family val="2"/>
      </rPr>
      <t>infrastructure projects’</t>
    </r>
    <r>
      <rPr>
        <sz val="10"/>
        <rFont val="Arial"/>
        <family val="2"/>
      </rPr>
      <t xml:space="preserve"> completion date: a project is completed after the equipment becomes available for public use (i.e., after the Implementation Period is completed). Note, this date will be used to track the project. The project scope may be completed, but projects cannot be closed out until all payment is paid out and Final Report is approved.</t>
    </r>
  </si>
  <si>
    <t>Final Report to County</t>
  </si>
  <si>
    <t>Date the Final Report was received by the administering agency. Note:
Administering agencies must expend funds within two years of receipt,
unless an application states that the project will take a longer period of
time and is approved by the administering agency or the Air District.</t>
  </si>
  <si>
    <t xml:space="preserve">TFCA 40% Funds Allocated </t>
  </si>
  <si>
    <t>Auto populated. Total of TFCA 40% Funds allocated to this project.</t>
  </si>
  <si>
    <t xml:space="preserve">Total Project Cost </t>
  </si>
  <si>
    <t>Years Effectiveness</t>
  </si>
  <si>
    <t xml:space="preserve">Auto populated. Equivalent to the administrative period of the grant and used in calculating a project’s Cost Effectiveness. This is different than how long the project will physically last. </t>
  </si>
  <si>
    <t>Em_Red_ROG (tpy)</t>
  </si>
  <si>
    <t>Auto populated. Emissions reduction for reactive organic gases (ROG) (in tons per year).</t>
  </si>
  <si>
    <t>Em_Red_NOx (tpy)</t>
  </si>
  <si>
    <t>Auto populated. Emissions reduction for nitrogen oxides (NOx) (in tons per year).</t>
  </si>
  <si>
    <t>Em_Red_PM10 (tpy)</t>
  </si>
  <si>
    <t>Auto populated. Emissions reduction for particulate matter 10 microns in diameter and smaller (PM10) (in tons per year).</t>
  </si>
  <si>
    <t>Em_Red_CO2 (tpy)</t>
  </si>
  <si>
    <t>Auto populated. Emissions reduction for CO2 (tons per year).</t>
  </si>
  <si>
    <t>Cost_Eff_ROG_NOx_PM ($/ton)</t>
  </si>
  <si>
    <t>Auto populated. The ratio of TFCA funds awarded to the sum of surplus emissions reduced, during a project’s operational period, of ROG, NOx, and PM10</t>
  </si>
  <si>
    <t>Life_C/E_WEIGHTED ($/ton)</t>
  </si>
  <si>
    <t>Auto populated. The ratio of TFCA funds awarded to the sum of surplus emissions reduced, during a project’s operational period, of ROG, NOx, and weighted PM10 (which is calculated by multiplying the tailpipe PM emissions by a factor of 20)</t>
  </si>
  <si>
    <t>% in SB 535 DAC?*</t>
  </si>
  <si>
    <t>See "Priority Areas" tab for geographic boundaries.</t>
  </si>
  <si>
    <t>% in AB 1550 LIC?*</t>
  </si>
  <si>
    <t>% in AB 617 Communities?*</t>
  </si>
  <si>
    <t>Is the Air District logo requirement applicable? (Y or N)  If "N," please explain.</t>
  </si>
  <si>
    <t>Identify whether a logo can be applied to the project, based on the project type.  Enter "Y" for yes or "N" for no.  If no, please provide explanation.</t>
  </si>
  <si>
    <r>
      <t>If a project consists of more than one segment being considered for funding,</t>
    </r>
    <r>
      <rPr>
        <b/>
        <sz val="11"/>
        <rFont val="MS Sans Serif"/>
      </rPr>
      <t xml:space="preserve"> each segment must meet the cost-effectiveness criteria</t>
    </r>
    <r>
      <rPr>
        <sz val="11"/>
        <rFont val="MS Sans Serif"/>
      </rPr>
      <t>. Include (1) CE worksheet with all segments listed, as well as a separate CE worksheet for each segment.</t>
    </r>
  </si>
  <si>
    <t>[Please provide answers for who, what, when, and where for the project.]</t>
  </si>
  <si>
    <t xml:space="preserve">Emissions Reduction, Priority Areas, Logo Applicability </t>
  </si>
  <si>
    <t>*See "Priority Areas" section in the Instructions tab for geographic boundaries.</t>
  </si>
  <si>
    <r>
      <rPr>
        <b/>
        <sz val="10"/>
        <color theme="1"/>
        <rFont val="Arial"/>
        <family val="2"/>
      </rPr>
      <t>Disadvantaged Communities (DAC):</t>
    </r>
    <r>
      <rPr>
        <sz val="10"/>
        <color theme="1"/>
        <rFont val="Arial"/>
        <family val="2"/>
      </rPr>
      <t xml:space="preserve"> for the purpose of SB 535, these areas are designated by the California Environmental Protection Agency as the top 25% most impacted census tracts experiencing disproportionate amounts of pollution, environmental degradation, and socioeconomic and public health conditions as shown in CalEnviroScreen 4.0, census tracts previously identified in the top 25% in CalEnviroScreen 3.0, census tracts with high amounts of pollution and low populations, and federally recognized tribal areas as identified by the Census in the 2021 American Indian Areas Related National Geodatabase. DACs are shown shaded YELLOW and GREEN in the California Climate Investments Priority Populations map. </t>
    </r>
  </si>
  <si>
    <t>https://ww3.arb.ca.gov/cc/capandtrade/auctionproceeds/communityinvestments.htm</t>
  </si>
  <si>
    <r>
      <rPr>
        <b/>
        <sz val="10"/>
        <color theme="1"/>
        <rFont val="Arial"/>
        <family val="2"/>
      </rPr>
      <t>Low-income communities (LIC)</t>
    </r>
    <r>
      <rPr>
        <sz val="10"/>
        <color theme="1"/>
        <rFont val="Arial"/>
        <family val="2"/>
      </rPr>
      <t>: for the purpose of AB 1550, these areas are defined as census
tracts with median household incomes at or below 80 percent of the statewide median income or
with median household incomes at or below the threshold designated as low-income by Housing
and Community Development’s State Income Limits. LICs are shown shaded in BLUE and
GREEN in the California Climate Investments Priority Populations map.</t>
    </r>
  </si>
  <si>
    <r>
      <rPr>
        <b/>
        <sz val="10"/>
        <color theme="1"/>
        <rFont val="Arial"/>
        <family val="2"/>
      </rPr>
      <t>Assembly Bill 617 Communities:</t>
    </r>
    <r>
      <rPr>
        <sz val="10"/>
        <color theme="1"/>
        <rFont val="Arial"/>
        <family val="2"/>
      </rPr>
      <t xml:space="preserve"> Assembly Bill 617 (AB 617) requires air districts to develop and implement additional emissions reporting, monitoring, reduction plans, and measures in an effort to reduce air pollution exposure in disadvantaged communities. The AB 617 communities in the Bay Area Air District’s jurisdiction include West Oakland and East Oakland in Alameda County, Richmond/San Pablo in Contra Costa County, and Bayview-Hunters Point in San Francisco. See below for the geographic boundaries.</t>
    </r>
  </si>
  <si>
    <t>West Oakland:</t>
  </si>
  <si>
    <t>East Oakland:</t>
  </si>
  <si>
    <t>Richmond-San Pablo:</t>
  </si>
  <si>
    <t>Bayview-Hunters Point/Southeast San Francisco:</t>
  </si>
  <si>
    <t>Priority Areas</t>
  </si>
  <si>
    <t>FYE 2027 TFCA 40% Fund Worksheet</t>
  </si>
  <si>
    <t>Version 2027, Updated 1/9/2026</t>
  </si>
  <si>
    <r>
      <t>Detailed instructions are available in</t>
    </r>
    <r>
      <rPr>
        <b/>
        <sz val="11"/>
        <rFont val="Arial"/>
        <family val="2"/>
      </rPr>
      <t xml:space="preserve"> Appendix H </t>
    </r>
    <r>
      <rPr>
        <sz val="11"/>
        <rFont val="Arial"/>
        <family val="2"/>
      </rPr>
      <t>of the 40% Fund Expenditure Plan Guidance Fiscal Year Ending 2027 at:</t>
    </r>
  </si>
  <si>
    <t>Project Number (27XXXYY)</t>
  </si>
  <si>
    <r>
      <t xml:space="preserve">ROG, NOx, &amp; PM2.5 per </t>
    </r>
    <r>
      <rPr>
        <i/>
        <sz val="10"/>
        <rFont val="MS Sans Serif"/>
      </rPr>
      <t xml:space="preserve">Methods to Find the Cost-Effectiveness of Funding Air Quality Projects, Emission Factor Tables, </t>
    </r>
    <r>
      <rPr>
        <sz val="10"/>
        <rFont val="MS Sans Serif"/>
      </rPr>
      <t>Table 4A, Emission Factors by Speed, Project Life 1-5 years (2023 - 2027), September 2025.</t>
    </r>
  </si>
  <si>
    <t>CO2 factors from EMFAC2021 (v1.0.2) Emission Rates (Region Type: Bay Area AQMD, CY: 2027, Season: Annual; Vehicle Classification: EMFAC2011 Categories, Fuel: Gas) via Jason Newman 1/13/2026</t>
  </si>
  <si>
    <r>
      <t xml:space="preserve">Values between increments of 5 are calculated by interpolation. </t>
    </r>
    <r>
      <rPr>
        <b/>
        <sz val="10"/>
        <rFont val="MS Sans Serif"/>
      </rPr>
      <t>Use CO2 RUNEX only and LDA!</t>
    </r>
  </si>
  <si>
    <t>Project in SB 535 DAC?*(Y or N)</t>
  </si>
  <si>
    <t>Project in AB 617 Community?*(Y or N)</t>
  </si>
  <si>
    <t>Project in AB 1550 LIC?*(Y or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</si>
</sst>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8" formatCode="&quot;$&quot;#,##0.00_);[Red]\(&quot;$&quot;#,##0.00\)"/>
    <numFmt numFmtId="44" formatCode="_(&quot;$&quot;* #,##0.00_);_(&quot;$&quot;* \(#,##0.00\);_(&quot;$&quot;* &quot;-&quot;??_);_(@_)"/>
    <numFmt numFmtId="164" formatCode="0.0"/>
    <numFmt numFmtId="165" formatCode="0.0000"/>
    <numFmt numFmtId="166" formatCode="0.0%"/>
    <numFmt numFmtId="167" formatCode="#,###"/>
    <numFmt numFmtId="168" formatCode="00000"/>
    <numFmt numFmtId="169" formatCode="[&lt;=9999999]###\-####;\(###\)\ ###\-####"/>
    <numFmt numFmtId="170" formatCode="0.000000"/>
  </numFmts>
  <fonts count="46" x14ac:knownFonts="1">
    <font>
      <sz val="10"/>
      <name val="MS Sans Serif"/>
    </font>
    <font>
      <b/>
      <i/>
      <sz val="10"/>
      <name val="MS Sans Serif"/>
      <family val="2"/>
    </font>
    <font>
      <sz val="10"/>
      <name val="MS Sans Serif"/>
      <family val="2"/>
    </font>
    <font>
      <sz val="12"/>
      <name val="MS Sans Serif"/>
      <family val="2"/>
    </font>
    <font>
      <sz val="8"/>
      <color indexed="81"/>
      <name val="Tahoma"/>
      <family val="2"/>
    </font>
    <font>
      <b/>
      <sz val="8"/>
      <color indexed="81"/>
      <name val="Tahoma"/>
      <family val="2"/>
    </font>
    <font>
      <b/>
      <sz val="10"/>
      <color indexed="8"/>
      <name val="Times New Roman"/>
      <family val="1"/>
    </font>
    <font>
      <sz val="10"/>
      <color indexed="8"/>
      <name val="Times New Roman"/>
      <family val="1"/>
    </font>
    <font>
      <b/>
      <sz val="12"/>
      <name val="Arial"/>
      <family val="2"/>
    </font>
    <font>
      <u/>
      <sz val="10"/>
      <name val="Arial"/>
      <family val="2"/>
    </font>
    <font>
      <b/>
      <sz val="10"/>
      <name val="MS Sans Serif"/>
      <family val="2"/>
    </font>
    <font>
      <sz val="10"/>
      <name val="Arial"/>
      <family val="2"/>
    </font>
    <font>
      <b/>
      <i/>
      <sz val="12"/>
      <name val="Arial"/>
      <family val="2"/>
    </font>
    <font>
      <sz val="12"/>
      <name val="Arial"/>
      <family val="2"/>
    </font>
    <font>
      <b/>
      <u/>
      <sz val="12"/>
      <name val="Arial"/>
      <family val="2"/>
    </font>
    <font>
      <u/>
      <sz val="7.5"/>
      <color indexed="12"/>
      <name val="MS Sans Serif"/>
      <family val="2"/>
    </font>
    <font>
      <b/>
      <sz val="10"/>
      <name val="Arial"/>
      <family val="2"/>
    </font>
    <font>
      <i/>
      <sz val="12"/>
      <name val="Arial"/>
      <family val="2"/>
    </font>
    <font>
      <sz val="8"/>
      <name val="MS Sans Serif"/>
      <family val="2"/>
    </font>
    <font>
      <sz val="10"/>
      <name val="MS Sans Serif"/>
      <family val="2"/>
    </font>
    <font>
      <b/>
      <sz val="14"/>
      <name val="Arial"/>
      <family val="2"/>
    </font>
    <font>
      <b/>
      <i/>
      <sz val="12"/>
      <name val="MS Sans Serif"/>
      <family val="2"/>
    </font>
    <font>
      <sz val="10"/>
      <color rgb="FFFF0000"/>
      <name val="MS Sans Serif"/>
      <family val="2"/>
    </font>
    <font>
      <sz val="9"/>
      <color indexed="81"/>
      <name val="Tahoma"/>
      <family val="2"/>
    </font>
    <font>
      <b/>
      <sz val="9"/>
      <color indexed="81"/>
      <name val="Tahoma"/>
      <family val="2"/>
    </font>
    <font>
      <i/>
      <sz val="10"/>
      <name val="MS Sans Serif"/>
    </font>
    <font>
      <sz val="10"/>
      <color rgb="FFFF0000"/>
      <name val="MS Sans Serif"/>
    </font>
    <font>
      <sz val="10"/>
      <name val="MS Sans Serif"/>
    </font>
    <font>
      <b/>
      <sz val="10"/>
      <name val="MS Sans Serif"/>
    </font>
    <font>
      <b/>
      <sz val="10"/>
      <color theme="1"/>
      <name val="MS Sans Serif"/>
    </font>
    <font>
      <b/>
      <sz val="11"/>
      <name val="Arial"/>
      <family val="2"/>
    </font>
    <font>
      <sz val="11"/>
      <name val="Arial"/>
      <family val="2"/>
    </font>
    <font>
      <sz val="12"/>
      <name val="MS Sans Serif"/>
    </font>
    <font>
      <sz val="12"/>
      <name val="Arial Rounded MT Bold"/>
      <family val="2"/>
    </font>
    <font>
      <b/>
      <sz val="12"/>
      <name val="Arial Rounded MT Bold"/>
      <family val="2"/>
    </font>
    <font>
      <sz val="16"/>
      <name val="MS Sans Serif"/>
    </font>
    <font>
      <i/>
      <sz val="12"/>
      <name val="MS Sans Serif"/>
      <family val="2"/>
    </font>
    <font>
      <u/>
      <sz val="11"/>
      <color indexed="12"/>
      <name val="MS Sans Serif"/>
      <family val="2"/>
    </font>
    <font>
      <u/>
      <sz val="11"/>
      <name val="MS Sans Serif"/>
    </font>
    <font>
      <sz val="11"/>
      <name val="MS Sans Serif"/>
    </font>
    <font>
      <b/>
      <sz val="11"/>
      <name val="MS Sans Serif"/>
    </font>
    <font>
      <b/>
      <sz val="10"/>
      <color rgb="FFFF0000"/>
      <name val="MS Sans Serif"/>
    </font>
    <font>
      <b/>
      <u/>
      <sz val="10"/>
      <name val="Arial"/>
      <family val="2"/>
    </font>
    <font>
      <u/>
      <sz val="10"/>
      <color theme="10"/>
      <name val="Arial"/>
      <family val="2"/>
    </font>
    <font>
      <sz val="10"/>
      <color theme="1"/>
      <name val="Arial"/>
      <family val="2"/>
    </font>
    <font>
      <b/>
      <sz val="10"/>
      <color theme="1"/>
      <name val="Arial"/>
      <family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CC"/>
        <bgColor indexed="64"/>
      </patternFill>
    </fill>
    <fill>
      <patternFill patternType="solid">
        <fgColor theme="0" tint="-0.499984740745262"/>
        <bgColor indexed="64"/>
      </patternFill>
    </fill>
    <fill>
      <patternFill patternType="solid">
        <fgColor theme="0" tint="-0.249977111117893"/>
        <bgColor indexed="64"/>
      </patternFill>
    </fill>
  </fills>
  <borders count="3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8">
    <xf numFmtId="0" fontId="0" fillId="0" borderId="0"/>
    <xf numFmtId="8" fontId="2" fillId="0" borderId="0" applyFont="0" applyFill="0" applyBorder="0" applyAlignment="0" applyProtection="0"/>
    <xf numFmtId="0" fontId="15"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11" fillId="0" borderId="0"/>
    <xf numFmtId="0" fontId="11" fillId="0" borderId="0"/>
    <xf numFmtId="44" fontId="11" fillId="0" borderId="0" applyFont="0" applyFill="0" applyBorder="0" applyAlignment="0" applyProtection="0"/>
  </cellStyleXfs>
  <cellXfs count="193">
    <xf numFmtId="0" fontId="0" fillId="0" borderId="0" xfId="0"/>
    <xf numFmtId="0" fontId="0" fillId="0" borderId="0" xfId="0" applyAlignment="1">
      <alignment horizontal="centerContinuous"/>
    </xf>
    <xf numFmtId="0" fontId="3" fillId="0" borderId="0" xfId="0" applyFont="1"/>
    <xf numFmtId="0" fontId="3" fillId="0" borderId="0" xfId="0" applyFont="1" applyAlignment="1">
      <alignment horizontal="center" vertical="center"/>
    </xf>
    <xf numFmtId="0" fontId="3" fillId="0" borderId="0" xfId="0" applyFont="1" applyAlignment="1">
      <alignment horizontal="right"/>
    </xf>
    <xf numFmtId="0" fontId="3" fillId="0" borderId="0" xfId="0" applyFont="1" applyAlignment="1">
      <alignment horizontal="center"/>
    </xf>
    <xf numFmtId="3" fontId="3" fillId="0" borderId="0" xfId="0" applyNumberFormat="1" applyFont="1"/>
    <xf numFmtId="2" fontId="0" fillId="0" borderId="0" xfId="0" applyNumberFormat="1"/>
    <xf numFmtId="0" fontId="0" fillId="0" borderId="0" xfId="0" applyAlignment="1">
      <alignment horizontal="center" vertical="center" wrapText="1"/>
    </xf>
    <xf numFmtId="5" fontId="0" fillId="0" borderId="0" xfId="0" applyNumberFormat="1"/>
    <xf numFmtId="0" fontId="3" fillId="0" borderId="0" xfId="0" applyFont="1" applyAlignment="1">
      <alignment horizontal="center" vertical="center" wrapText="1"/>
    </xf>
    <xf numFmtId="0" fontId="3" fillId="0" borderId="0" xfId="0" applyFont="1" applyAlignment="1">
      <alignment horizontal="centerContinuous" wrapText="1"/>
    </xf>
    <xf numFmtId="2" fontId="3" fillId="0" borderId="0" xfId="3" applyNumberFormat="1" applyFont="1" applyBorder="1"/>
    <xf numFmtId="2" fontId="3" fillId="0" borderId="0" xfId="0" applyNumberFormat="1" applyFont="1"/>
    <xf numFmtId="165" fontId="3" fillId="0" borderId="0" xfId="3" applyNumberFormat="1" applyFont="1" applyBorder="1"/>
    <xf numFmtId="3" fontId="0" fillId="0" borderId="0" xfId="0" applyNumberFormat="1"/>
    <xf numFmtId="166" fontId="0" fillId="0" borderId="0" xfId="0" applyNumberFormat="1"/>
    <xf numFmtId="0" fontId="8" fillId="0" borderId="1" xfId="0" applyFont="1" applyBorder="1" applyAlignment="1">
      <alignment horizontal="centerContinuous"/>
    </xf>
    <xf numFmtId="0" fontId="9" fillId="0" borderId="1" xfId="0" applyFont="1" applyBorder="1" applyAlignment="1">
      <alignment horizontal="centerContinuous"/>
    </xf>
    <xf numFmtId="0" fontId="0" fillId="0" borderId="3" xfId="0" applyBorder="1" applyAlignment="1">
      <alignment horizontal="centerContinuous" vertical="center"/>
    </xf>
    <xf numFmtId="0" fontId="0" fillId="0" borderId="3" xfId="0" applyBorder="1"/>
    <xf numFmtId="0" fontId="0" fillId="0" borderId="4" xfId="0" applyBorder="1"/>
    <xf numFmtId="0" fontId="11" fillId="0" borderId="0" xfId="0" applyFont="1" applyAlignment="1">
      <alignment horizontal="centerContinuous"/>
    </xf>
    <xf numFmtId="0" fontId="12" fillId="0" borderId="0" xfId="0" applyFont="1" applyAlignment="1">
      <alignment horizontal="left"/>
    </xf>
    <xf numFmtId="0" fontId="8" fillId="0" borderId="0" xfId="0" applyFont="1"/>
    <xf numFmtId="0" fontId="13" fillId="0" borderId="0" xfId="0" applyFont="1"/>
    <xf numFmtId="0" fontId="8" fillId="0" borderId="5" xfId="0" applyFont="1" applyBorder="1"/>
    <xf numFmtId="0" fontId="8" fillId="0" borderId="6" xfId="0" applyFont="1" applyBorder="1"/>
    <xf numFmtId="14" fontId="13" fillId="0" borderId="0" xfId="0" applyNumberFormat="1" applyFont="1" applyAlignment="1">
      <alignment horizontal="centerContinuous"/>
    </xf>
    <xf numFmtId="0" fontId="13" fillId="0" borderId="7" xfId="0" applyFont="1" applyBorder="1" applyAlignment="1">
      <alignment horizontal="center"/>
    </xf>
    <xf numFmtId="0" fontId="13" fillId="0" borderId="2"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7" xfId="0" applyFont="1" applyBorder="1" applyAlignment="1">
      <alignment horizontal="center" vertical="center"/>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xf>
    <xf numFmtId="0" fontId="13" fillId="0" borderId="1" xfId="0" applyFont="1" applyBorder="1" applyAlignment="1">
      <alignment horizontal="center"/>
    </xf>
    <xf numFmtId="2" fontId="13" fillId="0" borderId="1" xfId="0" applyNumberFormat="1" applyFont="1" applyBorder="1" applyAlignment="1">
      <alignment horizontal="right"/>
    </xf>
    <xf numFmtId="0" fontId="13" fillId="0" borderId="0" xfId="0" applyFont="1" applyAlignment="1">
      <alignment horizontal="center"/>
    </xf>
    <xf numFmtId="2" fontId="13" fillId="0" borderId="0" xfId="0" applyNumberFormat="1" applyFont="1" applyAlignment="1">
      <alignment horizontal="center"/>
    </xf>
    <xf numFmtId="3" fontId="13" fillId="0" borderId="0" xfId="0" applyNumberFormat="1" applyFont="1" applyAlignment="1">
      <alignment horizontal="center"/>
    </xf>
    <xf numFmtId="0" fontId="11" fillId="0" borderId="0" xfId="0" applyFont="1"/>
    <xf numFmtId="0" fontId="13" fillId="0" borderId="10" xfId="0" applyFont="1" applyBorder="1"/>
    <xf numFmtId="0" fontId="14" fillId="0" borderId="0" xfId="0" applyFont="1" applyAlignment="1">
      <alignment horizontal="center"/>
    </xf>
    <xf numFmtId="0" fontId="13" fillId="0" borderId="11" xfId="0" applyFont="1" applyBorder="1"/>
    <xf numFmtId="2" fontId="13" fillId="0" borderId="12" xfId="0" applyNumberFormat="1" applyFont="1" applyBorder="1"/>
    <xf numFmtId="2" fontId="13" fillId="2" borderId="2" xfId="0" applyNumberFormat="1" applyFont="1" applyFill="1" applyBorder="1"/>
    <xf numFmtId="0" fontId="13" fillId="0" borderId="2" xfId="0" applyFont="1" applyBorder="1"/>
    <xf numFmtId="0" fontId="13" fillId="0" borderId="0" xfId="0" applyFont="1" applyAlignment="1">
      <alignment horizontal="left"/>
    </xf>
    <xf numFmtId="1" fontId="0" fillId="0" borderId="0" xfId="0" applyNumberFormat="1"/>
    <xf numFmtId="0" fontId="8" fillId="0" borderId="0" xfId="0" applyFont="1" applyAlignment="1">
      <alignment horizontal="left"/>
    </xf>
    <xf numFmtId="0" fontId="13" fillId="0" borderId="0" xfId="0" applyFont="1" applyAlignment="1" applyProtection="1">
      <alignment horizontal="centerContinuous"/>
      <protection locked="0"/>
    </xf>
    <xf numFmtId="0" fontId="13" fillId="0" borderId="0" xfId="0" applyFont="1" applyProtection="1">
      <protection locked="0"/>
    </xf>
    <xf numFmtId="0" fontId="6" fillId="0" borderId="0" xfId="0" applyFont="1" applyAlignment="1">
      <alignment horizontal="right" vertical="top" wrapText="1"/>
    </xf>
    <xf numFmtId="0" fontId="10" fillId="0" borderId="0" xfId="0" applyFont="1"/>
    <xf numFmtId="1" fontId="10" fillId="0" borderId="0" xfId="0" applyNumberFormat="1" applyFont="1"/>
    <xf numFmtId="0" fontId="0" fillId="0" borderId="0" xfId="0" applyAlignment="1">
      <alignment horizontal="right"/>
    </xf>
    <xf numFmtId="0" fontId="7" fillId="0" borderId="0" xfId="0" applyFont="1" applyAlignment="1">
      <alignment horizontal="right" vertical="top" wrapText="1"/>
    </xf>
    <xf numFmtId="0" fontId="2" fillId="0" borderId="0" xfId="0" applyFont="1" applyAlignment="1">
      <alignment horizontal="left"/>
    </xf>
    <xf numFmtId="0" fontId="2" fillId="0" borderId="0" xfId="0" applyFont="1" applyAlignment="1">
      <alignment horizontal="centerContinuous"/>
    </xf>
    <xf numFmtId="0" fontId="1" fillId="0" borderId="0" xfId="0" applyFont="1" applyAlignment="1">
      <alignment horizontal="left"/>
    </xf>
    <xf numFmtId="0" fontId="16" fillId="0" borderId="0" xfId="0" applyFont="1" applyAlignment="1">
      <alignment vertical="center"/>
    </xf>
    <xf numFmtId="0" fontId="2" fillId="0" borderId="0" xfId="0" applyFont="1"/>
    <xf numFmtId="0" fontId="0" fillId="0" borderId="0" xfId="0" applyAlignment="1">
      <alignment horizontal="left"/>
    </xf>
    <xf numFmtId="0" fontId="10" fillId="0" borderId="20" xfId="0" applyFont="1" applyBorder="1" applyAlignment="1">
      <alignment horizontal="left" vertical="center"/>
    </xf>
    <xf numFmtId="0" fontId="17" fillId="4" borderId="7" xfId="0" applyFont="1" applyFill="1" applyBorder="1" applyAlignment="1" applyProtection="1">
      <alignment horizontal="center"/>
      <protection locked="0"/>
    </xf>
    <xf numFmtId="0" fontId="3" fillId="4" borderId="2" xfId="0" applyFont="1" applyFill="1" applyBorder="1" applyAlignment="1" applyProtection="1">
      <alignment horizontal="center"/>
      <protection locked="0"/>
    </xf>
    <xf numFmtId="3" fontId="3" fillId="4" borderId="2" xfId="0" applyNumberFormat="1" applyFont="1" applyFill="1" applyBorder="1" applyAlignment="1" applyProtection="1">
      <alignment horizontal="center"/>
      <protection locked="0"/>
    </xf>
    <xf numFmtId="166" fontId="13" fillId="4" borderId="2" xfId="3" applyNumberFormat="1" applyFont="1" applyFill="1" applyBorder="1" applyAlignment="1">
      <alignment horizontal="center"/>
    </xf>
    <xf numFmtId="2" fontId="13" fillId="4" borderId="2" xfId="0" applyNumberFormat="1" applyFont="1" applyFill="1" applyBorder="1" applyAlignment="1">
      <alignment horizontal="center"/>
    </xf>
    <xf numFmtId="1" fontId="13" fillId="4" borderId="9" xfId="0" applyNumberFormat="1" applyFont="1" applyFill="1" applyBorder="1" applyAlignment="1">
      <alignment horizontal="center"/>
    </xf>
    <xf numFmtId="0" fontId="13" fillId="3" borderId="7" xfId="0" applyFont="1" applyFill="1" applyBorder="1" applyAlignment="1" applyProtection="1">
      <alignment horizontal="center"/>
      <protection locked="0"/>
    </xf>
    <xf numFmtId="0" fontId="3" fillId="3" borderId="2" xfId="0" applyFont="1" applyFill="1" applyBorder="1" applyAlignment="1" applyProtection="1">
      <alignment horizontal="center"/>
      <protection locked="0"/>
    </xf>
    <xf numFmtId="3" fontId="3" fillId="3" borderId="2" xfId="0" applyNumberFormat="1" applyFont="1" applyFill="1" applyBorder="1" applyAlignment="1" applyProtection="1">
      <alignment horizontal="center"/>
      <protection locked="0"/>
    </xf>
    <xf numFmtId="166" fontId="13" fillId="2" borderId="2" xfId="3" applyNumberFormat="1" applyFont="1" applyFill="1" applyBorder="1" applyAlignment="1">
      <alignment horizontal="center"/>
    </xf>
    <xf numFmtId="2" fontId="13" fillId="2" borderId="2" xfId="0" applyNumberFormat="1" applyFont="1" applyFill="1" applyBorder="1" applyAlignment="1">
      <alignment horizontal="center"/>
    </xf>
    <xf numFmtId="2" fontId="13" fillId="2" borderId="21" xfId="0" applyNumberFormat="1" applyFont="1" applyFill="1" applyBorder="1" applyAlignment="1">
      <alignment horizontal="center"/>
    </xf>
    <xf numFmtId="0" fontId="8" fillId="5" borderId="22" xfId="0" applyFont="1" applyFill="1" applyBorder="1" applyAlignment="1">
      <alignment horizontal="center"/>
    </xf>
    <xf numFmtId="0" fontId="13" fillId="5" borderId="23" xfId="0" applyFont="1" applyFill="1" applyBorder="1" applyAlignment="1">
      <alignment horizontal="left"/>
    </xf>
    <xf numFmtId="0" fontId="13" fillId="5" borderId="24" xfId="0" applyFont="1" applyFill="1" applyBorder="1" applyAlignment="1">
      <alignment horizontal="left"/>
    </xf>
    <xf numFmtId="0" fontId="8" fillId="5" borderId="22" xfId="0" applyFont="1" applyFill="1" applyBorder="1" applyAlignment="1">
      <alignment horizontal="centerContinuous"/>
    </xf>
    <xf numFmtId="0" fontId="13" fillId="5" borderId="23" xfId="0" applyFont="1" applyFill="1" applyBorder="1" applyAlignment="1">
      <alignment horizontal="centerContinuous"/>
    </xf>
    <xf numFmtId="0" fontId="8" fillId="5" borderId="23" xfId="0" applyFont="1" applyFill="1" applyBorder="1" applyAlignment="1">
      <alignment horizontal="centerContinuous"/>
    </xf>
    <xf numFmtId="0" fontId="13" fillId="5" borderId="23" xfId="0" applyFont="1" applyFill="1" applyBorder="1" applyAlignment="1">
      <alignment horizontal="centerContinuous" vertical="center"/>
    </xf>
    <xf numFmtId="0" fontId="13" fillId="5" borderId="24" xfId="0" applyFont="1" applyFill="1" applyBorder="1" applyAlignment="1">
      <alignment horizontal="centerContinuous"/>
    </xf>
    <xf numFmtId="0" fontId="8" fillId="5" borderId="22" xfId="0" applyFont="1" applyFill="1" applyBorder="1" applyAlignment="1">
      <alignment horizontal="left"/>
    </xf>
    <xf numFmtId="0" fontId="13" fillId="5" borderId="3" xfId="0" applyFont="1" applyFill="1" applyBorder="1" applyAlignment="1">
      <alignment horizontal="center"/>
    </xf>
    <xf numFmtId="0" fontId="13" fillId="0" borderId="13" xfId="0" applyFont="1" applyBorder="1"/>
    <xf numFmtId="0" fontId="8" fillId="0" borderId="21" xfId="0" applyFont="1" applyBorder="1"/>
    <xf numFmtId="0" fontId="13" fillId="3" borderId="9" xfId="0" applyFont="1" applyFill="1" applyBorder="1" applyAlignment="1" applyProtection="1">
      <alignment horizontal="center" vertical="center"/>
      <protection locked="0"/>
    </xf>
    <xf numFmtId="5" fontId="13" fillId="3" borderId="25" xfId="0" applyNumberFormat="1" applyFont="1" applyFill="1" applyBorder="1" applyAlignment="1" applyProtection="1">
      <alignment horizontal="center" vertical="center"/>
      <protection locked="0"/>
    </xf>
    <xf numFmtId="5" fontId="13" fillId="2" borderId="26" xfId="0" applyNumberFormat="1" applyFont="1" applyFill="1" applyBorder="1" applyAlignment="1" applyProtection="1">
      <alignment horizontal="center" vertical="center"/>
      <protection locked="0"/>
    </xf>
    <xf numFmtId="0" fontId="20" fillId="0" borderId="0" xfId="0" applyFont="1" applyAlignment="1">
      <alignment horizontal="left"/>
    </xf>
    <xf numFmtId="167" fontId="13" fillId="0" borderId="0" xfId="0" applyNumberFormat="1" applyFont="1"/>
    <xf numFmtId="164" fontId="3" fillId="4" borderId="2" xfId="0" applyNumberFormat="1" applyFont="1" applyFill="1" applyBorder="1" applyAlignment="1" applyProtection="1">
      <alignment horizontal="center"/>
      <protection locked="0"/>
    </xf>
    <xf numFmtId="5" fontId="13" fillId="2" borderId="2" xfId="0" applyNumberFormat="1" applyFont="1" applyFill="1" applyBorder="1" applyAlignment="1">
      <alignment horizontal="right"/>
    </xf>
    <xf numFmtId="0" fontId="11" fillId="0" borderId="0" xfId="0" applyFont="1" applyAlignment="1">
      <alignment horizontal="right"/>
    </xf>
    <xf numFmtId="1" fontId="19" fillId="0" borderId="0" xfId="0" applyNumberFormat="1" applyFont="1"/>
    <xf numFmtId="165" fontId="11" fillId="0" borderId="0" xfId="0" applyNumberFormat="1" applyFont="1" applyAlignment="1">
      <alignment horizontal="right"/>
    </xf>
    <xf numFmtId="0" fontId="15" fillId="0" borderId="0" xfId="2" applyAlignment="1" applyProtection="1"/>
    <xf numFmtId="0" fontId="21" fillId="0" borderId="0" xfId="0" applyFont="1" applyAlignment="1">
      <alignment horizontal="centerContinuous"/>
    </xf>
    <xf numFmtId="0" fontId="13" fillId="0" borderId="30" xfId="0" applyFont="1" applyBorder="1"/>
    <xf numFmtId="0" fontId="8" fillId="0" borderId="30" xfId="0" applyFont="1" applyBorder="1" applyAlignment="1">
      <alignment horizontal="right"/>
    </xf>
    <xf numFmtId="0" fontId="22" fillId="0" borderId="0" xfId="0" applyFont="1"/>
    <xf numFmtId="0" fontId="10" fillId="0" borderId="0" xfId="4" applyFont="1"/>
    <xf numFmtId="0" fontId="2" fillId="0" borderId="0" xfId="4"/>
    <xf numFmtId="0" fontId="3" fillId="6" borderId="0" xfId="0" applyFont="1" applyFill="1" applyAlignment="1">
      <alignment horizontal="center" vertical="center" wrapText="1"/>
    </xf>
    <xf numFmtId="165" fontId="3" fillId="6" borderId="0" xfId="3" applyNumberFormat="1" applyFont="1" applyFill="1" applyBorder="1"/>
    <xf numFmtId="164" fontId="3" fillId="3" borderId="2" xfId="0" applyNumberFormat="1" applyFont="1" applyFill="1" applyBorder="1" applyAlignment="1" applyProtection="1">
      <alignment horizontal="center"/>
      <protection locked="0"/>
    </xf>
    <xf numFmtId="2" fontId="13" fillId="7" borderId="2" xfId="0" applyNumberFormat="1" applyFont="1" applyFill="1" applyBorder="1"/>
    <xf numFmtId="1" fontId="13" fillId="7" borderId="9" xfId="0" applyNumberFormat="1" applyFont="1" applyFill="1" applyBorder="1" applyAlignment="1">
      <alignment horizontal="center"/>
    </xf>
    <xf numFmtId="1" fontId="13" fillId="7" borderId="29" xfId="0" applyNumberFormat="1" applyFont="1" applyFill="1" applyBorder="1" applyAlignment="1">
      <alignment horizontal="center"/>
    </xf>
    <xf numFmtId="5" fontId="13" fillId="8" borderId="19" xfId="0" applyNumberFormat="1" applyFont="1" applyFill="1" applyBorder="1" applyAlignment="1" applyProtection="1">
      <alignment horizontal="center" vertical="center"/>
      <protection locked="0"/>
    </xf>
    <xf numFmtId="0" fontId="13" fillId="5" borderId="23" xfId="0" applyFont="1" applyFill="1" applyBorder="1" applyAlignment="1">
      <alignment horizontal="center"/>
    </xf>
    <xf numFmtId="0" fontId="10" fillId="0" borderId="0" xfId="0" applyFont="1" applyAlignment="1">
      <alignment horizontal="center" vertical="center"/>
    </xf>
    <xf numFmtId="0" fontId="0" fillId="0" borderId="0" xfId="0" applyAlignment="1">
      <alignment horizontal="center" vertical="center"/>
    </xf>
    <xf numFmtId="0" fontId="26" fillId="0" borderId="0" xfId="0" applyFont="1"/>
    <xf numFmtId="0" fontId="0" fillId="0" borderId="32" xfId="0" applyBorder="1"/>
    <xf numFmtId="0" fontId="0" fillId="0" borderId="32" xfId="0" applyBorder="1" applyAlignment="1">
      <alignment horizontal="right"/>
    </xf>
    <xf numFmtId="165" fontId="11" fillId="0" borderId="2" xfId="4" applyNumberFormat="1" applyFont="1" applyBorder="1" applyAlignment="1">
      <alignment horizontal="right"/>
    </xf>
    <xf numFmtId="0" fontId="28" fillId="0" borderId="27" xfId="0" applyFont="1" applyBorder="1"/>
    <xf numFmtId="0" fontId="28" fillId="0" borderId="13" xfId="0" applyFont="1" applyBorder="1"/>
    <xf numFmtId="0" fontId="29" fillId="0" borderId="13" xfId="0" applyFont="1" applyBorder="1"/>
    <xf numFmtId="0" fontId="28" fillId="0" borderId="32" xfId="0" applyFont="1" applyBorder="1"/>
    <xf numFmtId="165" fontId="16" fillId="0" borderId="2" xfId="4" applyNumberFormat="1" applyFont="1" applyBorder="1" applyAlignment="1">
      <alignment horizontal="right"/>
    </xf>
    <xf numFmtId="0" fontId="16" fillId="0" borderId="34" xfId="0" applyFont="1" applyBorder="1" applyAlignment="1">
      <alignment horizontal="right"/>
    </xf>
    <xf numFmtId="165" fontId="16" fillId="0" borderId="33" xfId="4" applyNumberFormat="1" applyFont="1" applyBorder="1" applyAlignment="1">
      <alignment horizontal="right"/>
    </xf>
    <xf numFmtId="0" fontId="30" fillId="0" borderId="0" xfId="0" applyFont="1" applyAlignment="1">
      <alignment vertical="center"/>
    </xf>
    <xf numFmtId="0" fontId="13" fillId="0" borderId="0" xfId="0" applyFont="1" applyAlignment="1">
      <alignment horizontal="centerContinuous"/>
    </xf>
    <xf numFmtId="0" fontId="32" fillId="0" borderId="0" xfId="0" applyFont="1" applyAlignment="1">
      <alignment horizontal="centerContinuous"/>
    </xf>
    <xf numFmtId="0" fontId="32" fillId="0" borderId="0" xfId="0" applyFont="1"/>
    <xf numFmtId="5" fontId="13" fillId="8" borderId="31" xfId="0" applyNumberFormat="1" applyFont="1" applyFill="1" applyBorder="1" applyAlignment="1" applyProtection="1">
      <alignment horizontal="center"/>
      <protection locked="0"/>
    </xf>
    <xf numFmtId="0" fontId="13" fillId="0" borderId="1" xfId="0" applyFont="1" applyBorder="1"/>
    <xf numFmtId="0" fontId="32" fillId="0" borderId="0" xfId="0" applyFont="1" applyAlignment="1">
      <alignment horizontal="center" vertical="center" wrapText="1"/>
    </xf>
    <xf numFmtId="5" fontId="32" fillId="0" borderId="0" xfId="0" applyNumberFormat="1" applyFont="1"/>
    <xf numFmtId="5" fontId="33" fillId="2" borderId="21" xfId="0" applyNumberFormat="1" applyFont="1" applyFill="1" applyBorder="1" applyAlignment="1">
      <alignment horizontal="right" wrapText="1"/>
    </xf>
    <xf numFmtId="0" fontId="27" fillId="0" borderId="0" xfId="4" applyFont="1"/>
    <xf numFmtId="0" fontId="29" fillId="0" borderId="9" xfId="0" applyFont="1" applyBorder="1"/>
    <xf numFmtId="0" fontId="35" fillId="0" borderId="0" xfId="0" applyFont="1"/>
    <xf numFmtId="0" fontId="36" fillId="0" borderId="0" xfId="0" applyFont="1"/>
    <xf numFmtId="0" fontId="31" fillId="0" borderId="0" xfId="0" applyFont="1"/>
    <xf numFmtId="0" fontId="37" fillId="0" borderId="0" xfId="2" applyFont="1" applyAlignment="1" applyProtection="1"/>
    <xf numFmtId="0" fontId="38" fillId="0" borderId="0" xfId="0" applyFont="1"/>
    <xf numFmtId="0" fontId="39" fillId="0" borderId="0" xfId="0" applyFont="1"/>
    <xf numFmtId="0" fontId="28" fillId="0" borderId="0" xfId="0" applyFont="1"/>
    <xf numFmtId="2" fontId="28" fillId="0" borderId="0" xfId="0" applyNumberFormat="1" applyFont="1"/>
    <xf numFmtId="3" fontId="28" fillId="0" borderId="0" xfId="0" applyNumberFormat="1" applyFont="1"/>
    <xf numFmtId="0" fontId="41" fillId="0" borderId="0" xfId="0" applyFont="1"/>
    <xf numFmtId="0" fontId="26" fillId="0" borderId="0" xfId="4" applyFont="1"/>
    <xf numFmtId="165" fontId="16" fillId="0" borderId="2" xfId="0" applyNumberFormat="1" applyFont="1" applyBorder="1" applyAlignment="1">
      <alignment horizontal="right" vertical="center"/>
    </xf>
    <xf numFmtId="165" fontId="11" fillId="0" borderId="2" xfId="0" applyNumberFormat="1" applyFont="1" applyBorder="1" applyAlignment="1">
      <alignment horizontal="right" vertical="center"/>
    </xf>
    <xf numFmtId="165" fontId="16" fillId="0" borderId="0" xfId="0" applyNumberFormat="1" applyFont="1" applyAlignment="1">
      <alignment horizontal="right" vertical="center"/>
    </xf>
    <xf numFmtId="165" fontId="11" fillId="0" borderId="0" xfId="0" applyNumberFormat="1" applyFont="1" applyAlignment="1">
      <alignment horizontal="right" vertical="center"/>
    </xf>
    <xf numFmtId="165" fontId="10" fillId="0" borderId="28" xfId="4" applyNumberFormat="1" applyFont="1" applyBorder="1"/>
    <xf numFmtId="165" fontId="2" fillId="0" borderId="28" xfId="4" applyNumberFormat="1" applyBorder="1"/>
    <xf numFmtId="165" fontId="10" fillId="0" borderId="29" xfId="4" applyNumberFormat="1" applyFont="1" applyBorder="1"/>
    <xf numFmtId="0" fontId="11" fillId="0" borderId="0" xfId="6"/>
    <xf numFmtId="0" fontId="42" fillId="0" borderId="0" xfId="6" applyFont="1"/>
    <xf numFmtId="0" fontId="11" fillId="0" borderId="0" xfId="6" applyAlignment="1">
      <alignment horizontal="right"/>
    </xf>
    <xf numFmtId="0" fontId="11" fillId="0" borderId="0" xfId="6" applyAlignment="1">
      <alignment horizontal="left"/>
    </xf>
    <xf numFmtId="0" fontId="11" fillId="0" borderId="13" xfId="6" applyBorder="1" applyAlignment="1">
      <alignment horizontal="right" vertical="center"/>
    </xf>
    <xf numFmtId="14" fontId="11" fillId="3" borderId="14" xfId="6" applyNumberFormat="1" applyFill="1" applyBorder="1" applyAlignment="1">
      <alignment horizontal="left" vertical="center" wrapText="1"/>
    </xf>
    <xf numFmtId="0" fontId="11" fillId="0" borderId="15" xfId="6" applyBorder="1" applyAlignment="1">
      <alignment horizontal="right" vertical="center"/>
    </xf>
    <xf numFmtId="0" fontId="11" fillId="0" borderId="15" xfId="6" applyBorder="1" applyAlignment="1">
      <alignment horizontal="right" vertical="center" wrapText="1"/>
    </xf>
    <xf numFmtId="0" fontId="11" fillId="0" borderId="16" xfId="6" applyBorder="1" applyAlignment="1">
      <alignment horizontal="right" vertical="center" wrapText="1"/>
    </xf>
    <xf numFmtId="0" fontId="16" fillId="0" borderId="17" xfId="6" applyFont="1" applyBorder="1" applyAlignment="1">
      <alignment horizontal="left" vertical="center" wrapText="1"/>
    </xf>
    <xf numFmtId="0" fontId="2" fillId="0" borderId="18" xfId="6" applyFont="1" applyBorder="1" applyAlignment="1">
      <alignment horizontal="left" vertical="center"/>
    </xf>
    <xf numFmtId="0" fontId="11" fillId="0" borderId="17" xfId="6" applyBorder="1" applyAlignment="1">
      <alignment horizontal="right" vertical="center" wrapText="1"/>
    </xf>
    <xf numFmtId="49" fontId="11" fillId="3" borderId="2" xfId="6" applyNumberFormat="1" applyFill="1" applyBorder="1" applyAlignment="1">
      <alignment horizontal="left" vertical="center" wrapText="1"/>
    </xf>
    <xf numFmtId="49" fontId="43" fillId="3" borderId="2" xfId="2" applyNumberFormat="1" applyFont="1" applyFill="1" applyBorder="1" applyAlignment="1" applyProtection="1">
      <alignment horizontal="left" vertical="center" wrapText="1"/>
    </xf>
    <xf numFmtId="169" fontId="11" fillId="3" borderId="2" xfId="6" applyNumberFormat="1" applyFill="1" applyBorder="1" applyAlignment="1">
      <alignment horizontal="left" vertical="center" wrapText="1"/>
    </xf>
    <xf numFmtId="0" fontId="11" fillId="0" borderId="19" xfId="6" applyBorder="1" applyAlignment="1">
      <alignment horizontal="right" vertical="center" wrapText="1"/>
    </xf>
    <xf numFmtId="168" fontId="11" fillId="3" borderId="2" xfId="6" applyNumberFormat="1" applyFill="1" applyBorder="1" applyAlignment="1">
      <alignment horizontal="left" vertical="center" wrapText="1"/>
    </xf>
    <xf numFmtId="44" fontId="11" fillId="0" borderId="18" xfId="7" applyBorder="1" applyAlignment="1">
      <alignment horizontal="left" vertical="center" wrapText="1"/>
    </xf>
    <xf numFmtId="14" fontId="11" fillId="3" borderId="2" xfId="6" quotePrefix="1" applyNumberFormat="1" applyFill="1" applyBorder="1" applyAlignment="1">
      <alignment horizontal="left" vertical="center" wrapText="1"/>
    </xf>
    <xf numFmtId="0" fontId="16" fillId="0" borderId="17" xfId="6" applyFont="1" applyBorder="1" applyAlignment="1">
      <alignment horizontal="left" vertical="center"/>
    </xf>
    <xf numFmtId="0" fontId="11" fillId="0" borderId="0" xfId="6" applyAlignment="1">
      <alignment horizontal="right" vertical="center" wrapText="1"/>
    </xf>
    <xf numFmtId="0" fontId="44" fillId="0" borderId="0" xfId="0" applyFont="1" applyAlignment="1">
      <alignment horizontal="right" vertical="center" wrapText="1"/>
    </xf>
    <xf numFmtId="8" fontId="11" fillId="9" borderId="14" xfId="1" applyFont="1" applyFill="1" applyBorder="1" applyAlignment="1">
      <alignment horizontal="left" vertical="center" wrapText="1"/>
    </xf>
    <xf numFmtId="170" fontId="11" fillId="9" borderId="14" xfId="1" applyNumberFormat="1" applyFont="1" applyFill="1" applyBorder="1" applyAlignment="1">
      <alignment horizontal="left" vertical="center" wrapText="1"/>
    </xf>
    <xf numFmtId="1" fontId="11" fillId="9" borderId="14" xfId="1" applyNumberFormat="1" applyFont="1" applyFill="1" applyBorder="1" applyAlignment="1">
      <alignment horizontal="left" vertical="center" wrapText="1"/>
    </xf>
    <xf numFmtId="0" fontId="43" fillId="0" borderId="0" xfId="2" applyFont="1" applyAlignment="1" applyProtection="1"/>
    <xf numFmtId="0" fontId="44" fillId="0" borderId="0" xfId="0" applyFont="1"/>
    <xf numFmtId="0" fontId="44" fillId="0" borderId="0" xfId="0" applyFont="1" applyAlignment="1">
      <alignment vertical="center"/>
    </xf>
    <xf numFmtId="0" fontId="11" fillId="3" borderId="2" xfId="6" quotePrefix="1" applyFill="1" applyBorder="1" applyAlignment="1">
      <alignment horizontal="left" vertical="center" wrapText="1"/>
    </xf>
    <xf numFmtId="49" fontId="11" fillId="3" borderId="14" xfId="6" applyNumberFormat="1" applyFill="1" applyBorder="1" applyAlignment="1">
      <alignment horizontal="left" vertical="center" wrapText="1"/>
    </xf>
    <xf numFmtId="0" fontId="0" fillId="0" borderId="0" xfId="4" applyFont="1"/>
    <xf numFmtId="0" fontId="44" fillId="0" borderId="0" xfId="0" applyFont="1" applyAlignment="1">
      <alignment horizontal="left" wrapText="1"/>
    </xf>
    <xf numFmtId="0" fontId="13" fillId="0" borderId="32" xfId="0" applyFont="1" applyBorder="1" applyAlignment="1">
      <alignment wrapText="1"/>
    </xf>
    <xf numFmtId="0" fontId="13" fillId="0" borderId="12" xfId="0" applyFont="1" applyBorder="1" applyAlignment="1">
      <alignment wrapText="1"/>
    </xf>
    <xf numFmtId="0" fontId="13" fillId="0" borderId="14" xfId="0" applyFont="1" applyBorder="1" applyAlignment="1">
      <alignment wrapText="1"/>
    </xf>
  </cellXfs>
  <cellStyles count="8">
    <cellStyle name="Currency" xfId="1" builtinId="4"/>
    <cellStyle name="Currency 2" xfId="7" xr:uid="{BC3A25DD-012A-488A-A5D2-4916FF43AA42}"/>
    <cellStyle name="Hyperlink" xfId="2" builtinId="8"/>
    <cellStyle name="Normal" xfId="0" builtinId="0"/>
    <cellStyle name="Normal 2" xfId="4" xr:uid="{00000000-0005-0000-0000-000003000000}"/>
    <cellStyle name="Normal 2 2" xfId="6" xr:uid="{AB51850D-DA3B-4DD1-B75C-BAFC2EA59CFD}"/>
    <cellStyle name="Normal 5" xfId="5" xr:uid="{2D8575C4-9B62-48EE-A7BD-27D66BD26816}"/>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277814</xdr:colOff>
      <xdr:row>53</xdr:row>
      <xdr:rowOff>83351</xdr:rowOff>
    </xdr:from>
    <xdr:to>
      <xdr:col>10</xdr:col>
      <xdr:colOff>381001</xdr:colOff>
      <xdr:row>57</xdr:row>
      <xdr:rowOff>95621</xdr:rowOff>
    </xdr:to>
    <xdr:pic>
      <xdr:nvPicPr>
        <xdr:cNvPr id="4" name="Picture 3">
          <a:extLst>
            <a:ext uri="{FF2B5EF4-FFF2-40B4-BE49-F238E27FC236}">
              <a16:creationId xmlns:a16="http://schemas.microsoft.com/office/drawing/2014/main" id="{AD71AACA-A665-420B-BF59-314CDAB6A72B}"/>
            </a:ext>
          </a:extLst>
        </xdr:cNvPr>
        <xdr:cNvPicPr>
          <a:picLocks noChangeAspect="1"/>
        </xdr:cNvPicPr>
      </xdr:nvPicPr>
      <xdr:blipFill>
        <a:blip xmlns:r="http://schemas.openxmlformats.org/officeDocument/2006/relationships" r:embed="rId1"/>
        <a:stretch>
          <a:fillRect/>
        </a:stretch>
      </xdr:blipFill>
      <xdr:spPr>
        <a:xfrm>
          <a:off x="277814" y="9013039"/>
          <a:ext cx="6056312" cy="679020"/>
        </a:xfrm>
        <a:prstGeom prst="rect">
          <a:avLst/>
        </a:prstGeom>
      </xdr:spPr>
    </xdr:pic>
    <xdr:clientData/>
  </xdr:twoCellAnchor>
  <xdr:twoCellAnchor>
    <xdr:from>
      <xdr:col>0</xdr:col>
      <xdr:colOff>962025</xdr:colOff>
      <xdr:row>109</xdr:row>
      <xdr:rowOff>161925</xdr:rowOff>
    </xdr:from>
    <xdr:to>
      <xdr:col>0</xdr:col>
      <xdr:colOff>5219700</xdr:colOff>
      <xdr:row>122</xdr:row>
      <xdr:rowOff>180975</xdr:rowOff>
    </xdr:to>
    <xdr:pic>
      <xdr:nvPicPr>
        <xdr:cNvPr id="2" name="Picture 384939927" descr="A map of a city&#10;&#10;Description automatically generated">
          <a:extLst>
            <a:ext uri="{FF2B5EF4-FFF2-40B4-BE49-F238E27FC236}">
              <a16:creationId xmlns:a16="http://schemas.microsoft.com/office/drawing/2014/main" id="{35857C5E-FF1B-462A-B986-E3E09C8F00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2025" y="3752850"/>
          <a:ext cx="4257675"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971550</xdr:colOff>
      <xdr:row>124</xdr:row>
      <xdr:rowOff>171450</xdr:rowOff>
    </xdr:from>
    <xdr:to>
      <xdr:col>0</xdr:col>
      <xdr:colOff>4981575</xdr:colOff>
      <xdr:row>145</xdr:row>
      <xdr:rowOff>19050</xdr:rowOff>
    </xdr:to>
    <xdr:pic>
      <xdr:nvPicPr>
        <xdr:cNvPr id="5" name="Picture 447674016" descr="A map of a city&#10;&#10;Description automatically generated">
          <a:extLst>
            <a:ext uri="{FF2B5EF4-FFF2-40B4-BE49-F238E27FC236}">
              <a16:creationId xmlns:a16="http://schemas.microsoft.com/office/drawing/2014/main" id="{04ABD4B9-2C8A-4E9E-B803-F761101B23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1550" y="6181725"/>
          <a:ext cx="401002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676275</xdr:colOff>
      <xdr:row>146</xdr:row>
      <xdr:rowOff>85725</xdr:rowOff>
    </xdr:from>
    <xdr:to>
      <xdr:col>0</xdr:col>
      <xdr:colOff>5153025</xdr:colOff>
      <xdr:row>165</xdr:row>
      <xdr:rowOff>104775</xdr:rowOff>
    </xdr:to>
    <xdr:pic>
      <xdr:nvPicPr>
        <xdr:cNvPr id="8" name="Picture 59480354" descr="A map of a city&#10;&#10;Description automatically generated">
          <a:extLst>
            <a:ext uri="{FF2B5EF4-FFF2-40B4-BE49-F238E27FC236}">
              <a16:creationId xmlns:a16="http://schemas.microsoft.com/office/drawing/2014/main" id="{3ECCD6C3-D0BB-44B0-B178-AE5A6EB75F9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676275" y="9667875"/>
          <a:ext cx="447675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542925</xdr:colOff>
      <xdr:row>168</xdr:row>
      <xdr:rowOff>114300</xdr:rowOff>
    </xdr:from>
    <xdr:to>
      <xdr:col>0</xdr:col>
      <xdr:colOff>4867275</xdr:colOff>
      <xdr:row>187</xdr:row>
      <xdr:rowOff>180975</xdr:rowOff>
    </xdr:to>
    <xdr:pic>
      <xdr:nvPicPr>
        <xdr:cNvPr id="9" name="Picture 1" descr="A map of a city&#10;&#10;Description automatically generated">
          <a:extLst>
            <a:ext uri="{FF2B5EF4-FFF2-40B4-BE49-F238E27FC236}">
              <a16:creationId xmlns:a16="http://schemas.microsoft.com/office/drawing/2014/main" id="{EF482766-6BAE-41DB-A8A9-D71A90568B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2925" y="13258800"/>
          <a:ext cx="4324350"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427260</xdr:colOff>
      <xdr:row>110</xdr:row>
      <xdr:rowOff>44214</xdr:rowOff>
    </xdr:from>
    <xdr:to>
      <xdr:col>8</xdr:col>
      <xdr:colOff>112935</xdr:colOff>
      <xdr:row>123</xdr:row>
      <xdr:rowOff>36049</xdr:rowOff>
    </xdr:to>
    <xdr:pic>
      <xdr:nvPicPr>
        <xdr:cNvPr id="10" name="Picture 384939927" descr="A map of a city&#10;&#10;Description automatically generated">
          <a:extLst>
            <a:ext uri="{FF2B5EF4-FFF2-40B4-BE49-F238E27FC236}">
              <a16:creationId xmlns:a16="http://schemas.microsoft.com/office/drawing/2014/main" id="{CAD538A2-2FDA-4692-A161-64CBD1E4B0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260" y="21080857"/>
          <a:ext cx="4257675" cy="2114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436785</xdr:colOff>
      <xdr:row>125</xdr:row>
      <xdr:rowOff>23803</xdr:rowOff>
    </xdr:from>
    <xdr:to>
      <xdr:col>7</xdr:col>
      <xdr:colOff>446310</xdr:colOff>
      <xdr:row>145</xdr:row>
      <xdr:rowOff>15639</xdr:rowOff>
    </xdr:to>
    <xdr:pic>
      <xdr:nvPicPr>
        <xdr:cNvPr id="11" name="Picture 447674016" descr="A map of a city&#10;&#10;Description automatically generated">
          <a:extLst>
            <a:ext uri="{FF2B5EF4-FFF2-40B4-BE49-F238E27FC236}">
              <a16:creationId xmlns:a16="http://schemas.microsoft.com/office/drawing/2014/main" id="{B94A591F-15BE-4562-8E49-65728A9DE3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785" y="23509732"/>
          <a:ext cx="401002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141510</xdr:colOff>
      <xdr:row>146</xdr:row>
      <xdr:rowOff>80953</xdr:rowOff>
    </xdr:from>
    <xdr:to>
      <xdr:col>8</xdr:col>
      <xdr:colOff>46260</xdr:colOff>
      <xdr:row>165</xdr:row>
      <xdr:rowOff>83674</xdr:rowOff>
    </xdr:to>
    <xdr:pic>
      <xdr:nvPicPr>
        <xdr:cNvPr id="14" name="Picture 59480354" descr="A map of a city&#10;&#10;Description automatically generated">
          <a:extLst>
            <a:ext uri="{FF2B5EF4-FFF2-40B4-BE49-F238E27FC236}">
              <a16:creationId xmlns:a16="http://schemas.microsoft.com/office/drawing/2014/main" id="{267EE487-7C4C-4E73-A787-6B82BEDAADF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141510" y="26995882"/>
          <a:ext cx="4476750" cy="3105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8160</xdr:colOff>
      <xdr:row>168</xdr:row>
      <xdr:rowOff>89117</xdr:rowOff>
    </xdr:from>
    <xdr:to>
      <xdr:col>7</xdr:col>
      <xdr:colOff>332010</xdr:colOff>
      <xdr:row>187</xdr:row>
      <xdr:rowOff>101364</xdr:rowOff>
    </xdr:to>
    <xdr:pic>
      <xdr:nvPicPr>
        <xdr:cNvPr id="15" name="Picture 1" descr="A map of a city&#10;&#10;Description automatically generated">
          <a:extLst>
            <a:ext uri="{FF2B5EF4-FFF2-40B4-BE49-F238E27FC236}">
              <a16:creationId xmlns:a16="http://schemas.microsoft.com/office/drawing/2014/main" id="{2A400AAC-0241-48E7-911F-8F4528BD9DD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60" y="30596331"/>
          <a:ext cx="4324350" cy="311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261937</xdr:colOff>
      <xdr:row>7</xdr:row>
      <xdr:rowOff>119062</xdr:rowOff>
    </xdr:from>
    <xdr:to>
      <xdr:col>9</xdr:col>
      <xdr:colOff>206647</xdr:colOff>
      <xdr:row>49</xdr:row>
      <xdr:rowOff>119419</xdr:rowOff>
    </xdr:to>
    <xdr:pic>
      <xdr:nvPicPr>
        <xdr:cNvPr id="16" name="Picture 15">
          <a:extLst>
            <a:ext uri="{FF2B5EF4-FFF2-40B4-BE49-F238E27FC236}">
              <a16:creationId xmlns:a16="http://schemas.microsoft.com/office/drawing/2014/main" id="{E8F4A0C2-2C87-46A2-B945-7D364006F98F}"/>
            </a:ext>
          </a:extLst>
        </xdr:cNvPr>
        <xdr:cNvPicPr>
          <a:picLocks noChangeAspect="1"/>
        </xdr:cNvPicPr>
      </xdr:nvPicPr>
      <xdr:blipFill>
        <a:blip xmlns:r="http://schemas.openxmlformats.org/officeDocument/2006/relationships" r:embed="rId6"/>
        <a:stretch>
          <a:fillRect/>
        </a:stretch>
      </xdr:blipFill>
      <xdr:spPr>
        <a:xfrm>
          <a:off x="261937" y="1428750"/>
          <a:ext cx="5302523" cy="6953607"/>
        </a:xfrm>
        <a:prstGeom prst="rect">
          <a:avLst/>
        </a:prstGeom>
      </xdr:spPr>
    </xdr:pic>
    <xdr:clientData/>
  </xdr:twoCellAnchor>
  <xdr:twoCellAnchor editAs="oneCell">
    <xdr:from>
      <xdr:col>0</xdr:col>
      <xdr:colOff>325437</xdr:colOff>
      <xdr:row>49</xdr:row>
      <xdr:rowOff>134937</xdr:rowOff>
    </xdr:from>
    <xdr:to>
      <xdr:col>9</xdr:col>
      <xdr:colOff>365401</xdr:colOff>
      <xdr:row>53</xdr:row>
      <xdr:rowOff>103220</xdr:rowOff>
    </xdr:to>
    <xdr:pic>
      <xdr:nvPicPr>
        <xdr:cNvPr id="17" name="Picture 16">
          <a:extLst>
            <a:ext uri="{FF2B5EF4-FFF2-40B4-BE49-F238E27FC236}">
              <a16:creationId xmlns:a16="http://schemas.microsoft.com/office/drawing/2014/main" id="{8FE09AE2-35B7-4C38-A9EF-8354788156A6}"/>
            </a:ext>
          </a:extLst>
        </xdr:cNvPr>
        <xdr:cNvPicPr>
          <a:picLocks noChangeAspect="1"/>
        </xdr:cNvPicPr>
      </xdr:nvPicPr>
      <xdr:blipFill>
        <a:blip xmlns:r="http://schemas.openxmlformats.org/officeDocument/2006/relationships" r:embed="rId7"/>
        <a:stretch>
          <a:fillRect/>
        </a:stretch>
      </xdr:blipFill>
      <xdr:spPr>
        <a:xfrm>
          <a:off x="325437" y="8397875"/>
          <a:ext cx="5397777" cy="635033"/>
        </a:xfrm>
        <a:prstGeom prst="rect">
          <a:avLst/>
        </a:prstGeom>
      </xdr:spPr>
    </xdr:pic>
    <xdr:clientData/>
  </xdr:twoCellAnchor>
  <xdr:twoCellAnchor editAs="oneCell">
    <xdr:from>
      <xdr:col>10</xdr:col>
      <xdr:colOff>79375</xdr:colOff>
      <xdr:row>7</xdr:row>
      <xdr:rowOff>23812</xdr:rowOff>
    </xdr:from>
    <xdr:to>
      <xdr:col>18</xdr:col>
      <xdr:colOff>524143</xdr:colOff>
      <xdr:row>27</xdr:row>
      <xdr:rowOff>30334</xdr:rowOff>
    </xdr:to>
    <xdr:pic>
      <xdr:nvPicPr>
        <xdr:cNvPr id="18" name="Picture 17">
          <a:extLst>
            <a:ext uri="{FF2B5EF4-FFF2-40B4-BE49-F238E27FC236}">
              <a16:creationId xmlns:a16="http://schemas.microsoft.com/office/drawing/2014/main" id="{88FFFD4A-CAB4-4053-91CD-49E6D5C40FE9}"/>
            </a:ext>
          </a:extLst>
        </xdr:cNvPr>
        <xdr:cNvPicPr>
          <a:picLocks noChangeAspect="1"/>
        </xdr:cNvPicPr>
      </xdr:nvPicPr>
      <xdr:blipFill>
        <a:blip xmlns:r="http://schemas.openxmlformats.org/officeDocument/2006/relationships" r:embed="rId8"/>
        <a:stretch>
          <a:fillRect/>
        </a:stretch>
      </xdr:blipFill>
      <xdr:spPr>
        <a:xfrm>
          <a:off x="6032500" y="1333500"/>
          <a:ext cx="5207268" cy="3340272"/>
        </a:xfrm>
        <a:prstGeom prst="rect">
          <a:avLst/>
        </a:prstGeom>
      </xdr:spPr>
    </xdr:pic>
    <xdr:clientData/>
  </xdr:twoCellAnchor>
  <xdr:twoCellAnchor editAs="oneCell">
    <xdr:from>
      <xdr:col>10</xdr:col>
      <xdr:colOff>79375</xdr:colOff>
      <xdr:row>27</xdr:row>
      <xdr:rowOff>95250</xdr:rowOff>
    </xdr:from>
    <xdr:to>
      <xdr:col>18</xdr:col>
      <xdr:colOff>486041</xdr:colOff>
      <xdr:row>45</xdr:row>
      <xdr:rowOff>152555</xdr:rowOff>
    </xdr:to>
    <xdr:pic>
      <xdr:nvPicPr>
        <xdr:cNvPr id="19" name="Picture 18">
          <a:extLst>
            <a:ext uri="{FF2B5EF4-FFF2-40B4-BE49-F238E27FC236}">
              <a16:creationId xmlns:a16="http://schemas.microsoft.com/office/drawing/2014/main" id="{91D9757F-E6A2-41C0-B102-2E34AB740073}"/>
            </a:ext>
          </a:extLst>
        </xdr:cNvPr>
        <xdr:cNvPicPr>
          <a:picLocks noChangeAspect="1"/>
        </xdr:cNvPicPr>
      </xdr:nvPicPr>
      <xdr:blipFill>
        <a:blip xmlns:r="http://schemas.openxmlformats.org/officeDocument/2006/relationships" r:embed="rId9"/>
        <a:stretch>
          <a:fillRect/>
        </a:stretch>
      </xdr:blipFill>
      <xdr:spPr>
        <a:xfrm>
          <a:off x="6032500" y="4738688"/>
          <a:ext cx="5169166" cy="3010055"/>
        </a:xfrm>
        <a:prstGeom prst="rect">
          <a:avLst/>
        </a:prstGeom>
      </xdr:spPr>
    </xdr:pic>
    <xdr:clientData/>
  </xdr:twoCellAnchor>
  <xdr:twoCellAnchor editAs="oneCell">
    <xdr:from>
      <xdr:col>20</xdr:col>
      <xdr:colOff>23813</xdr:colOff>
      <xdr:row>8</xdr:row>
      <xdr:rowOff>0</xdr:rowOff>
    </xdr:from>
    <xdr:to>
      <xdr:col>29</xdr:col>
      <xdr:colOff>25675</xdr:colOff>
      <xdr:row>23</xdr:row>
      <xdr:rowOff>116021</xdr:rowOff>
    </xdr:to>
    <xdr:pic>
      <xdr:nvPicPr>
        <xdr:cNvPr id="20" name="Picture 19">
          <a:extLst>
            <a:ext uri="{FF2B5EF4-FFF2-40B4-BE49-F238E27FC236}">
              <a16:creationId xmlns:a16="http://schemas.microsoft.com/office/drawing/2014/main" id="{C36A97C4-2503-4C2A-8A80-618E93FE68A7}"/>
            </a:ext>
          </a:extLst>
        </xdr:cNvPr>
        <xdr:cNvPicPr>
          <a:picLocks noChangeAspect="1"/>
        </xdr:cNvPicPr>
      </xdr:nvPicPr>
      <xdr:blipFill>
        <a:blip xmlns:r="http://schemas.openxmlformats.org/officeDocument/2006/relationships" r:embed="rId10"/>
        <a:stretch>
          <a:fillRect/>
        </a:stretch>
      </xdr:blipFill>
      <xdr:spPr>
        <a:xfrm>
          <a:off x="11930063" y="1476375"/>
          <a:ext cx="5359675" cy="2616334"/>
        </a:xfrm>
        <a:prstGeom prst="rect">
          <a:avLst/>
        </a:prstGeom>
      </xdr:spPr>
    </xdr:pic>
    <xdr:clientData/>
  </xdr:twoCellAnchor>
  <xdr:twoCellAnchor editAs="oneCell">
    <xdr:from>
      <xdr:col>20</xdr:col>
      <xdr:colOff>47625</xdr:colOff>
      <xdr:row>24</xdr:row>
      <xdr:rowOff>7938</xdr:rowOff>
    </xdr:from>
    <xdr:to>
      <xdr:col>29</xdr:col>
      <xdr:colOff>30436</xdr:colOff>
      <xdr:row>49</xdr:row>
      <xdr:rowOff>9737</xdr:rowOff>
    </xdr:to>
    <xdr:pic>
      <xdr:nvPicPr>
        <xdr:cNvPr id="21" name="Picture 20">
          <a:extLst>
            <a:ext uri="{FF2B5EF4-FFF2-40B4-BE49-F238E27FC236}">
              <a16:creationId xmlns:a16="http://schemas.microsoft.com/office/drawing/2014/main" id="{66872952-0B35-4859-846D-E0D33D86C988}"/>
            </a:ext>
          </a:extLst>
        </xdr:cNvPr>
        <xdr:cNvPicPr>
          <a:picLocks noChangeAspect="1"/>
        </xdr:cNvPicPr>
      </xdr:nvPicPr>
      <xdr:blipFill>
        <a:blip xmlns:r="http://schemas.openxmlformats.org/officeDocument/2006/relationships" r:embed="rId11"/>
        <a:stretch>
          <a:fillRect/>
        </a:stretch>
      </xdr:blipFill>
      <xdr:spPr>
        <a:xfrm>
          <a:off x="11953875" y="4151313"/>
          <a:ext cx="5340624" cy="4121362"/>
        </a:xfrm>
        <a:prstGeom prst="rect">
          <a:avLst/>
        </a:prstGeom>
      </xdr:spPr>
    </xdr:pic>
    <xdr:clientData/>
  </xdr:twoCellAnchor>
  <xdr:twoCellAnchor editAs="oneCell">
    <xdr:from>
      <xdr:col>20</xdr:col>
      <xdr:colOff>47625</xdr:colOff>
      <xdr:row>49</xdr:row>
      <xdr:rowOff>31750</xdr:rowOff>
    </xdr:from>
    <xdr:to>
      <xdr:col>29</xdr:col>
      <xdr:colOff>30436</xdr:colOff>
      <xdr:row>51</xdr:row>
      <xdr:rowOff>60344</xdr:rowOff>
    </xdr:to>
    <xdr:pic>
      <xdr:nvPicPr>
        <xdr:cNvPr id="22" name="Picture 21">
          <a:extLst>
            <a:ext uri="{FF2B5EF4-FFF2-40B4-BE49-F238E27FC236}">
              <a16:creationId xmlns:a16="http://schemas.microsoft.com/office/drawing/2014/main" id="{91665B09-6EB7-4BA5-919E-98B9E7778291}"/>
            </a:ext>
          </a:extLst>
        </xdr:cNvPr>
        <xdr:cNvPicPr>
          <a:picLocks noChangeAspect="1"/>
        </xdr:cNvPicPr>
      </xdr:nvPicPr>
      <xdr:blipFill>
        <a:blip xmlns:r="http://schemas.openxmlformats.org/officeDocument/2006/relationships" r:embed="rId12"/>
        <a:stretch>
          <a:fillRect/>
        </a:stretch>
      </xdr:blipFill>
      <xdr:spPr>
        <a:xfrm>
          <a:off x="11953875" y="8294688"/>
          <a:ext cx="5340624" cy="3619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xdr:colOff>
      <xdr:row>16</xdr:row>
      <xdr:rowOff>0</xdr:rowOff>
    </xdr:from>
    <xdr:to>
      <xdr:col>0</xdr:col>
      <xdr:colOff>1150861</xdr:colOff>
      <xdr:row>16</xdr:row>
      <xdr:rowOff>0</xdr:rowOff>
    </xdr:to>
    <xdr:sp macro="" textlink="">
      <xdr:nvSpPr>
        <xdr:cNvPr id="1035" name="Text 11">
          <a:extLst>
            <a:ext uri="{FF2B5EF4-FFF2-40B4-BE49-F238E27FC236}">
              <a16:creationId xmlns:a16="http://schemas.microsoft.com/office/drawing/2014/main" id="{00000000-0008-0000-0200-00000B040000}"/>
            </a:ext>
          </a:extLst>
        </xdr:cNvPr>
        <xdr:cNvSpPr txBox="1">
          <a:spLocks noChangeArrowheads="1"/>
        </xdr:cNvSpPr>
      </xdr:nvSpPr>
      <xdr:spPr bwMode="auto">
        <a:xfrm>
          <a:off x="60960" y="3954780"/>
          <a:ext cx="113538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MS Sans Serif"/>
            </a:rPr>
            <a:t>Existing Vehicles</a:t>
          </a:r>
        </a:p>
      </xdr:txBody>
    </xdr:sp>
    <xdr:clientData/>
  </xdr:twoCellAnchor>
  <xdr:twoCellAnchor>
    <xdr:from>
      <xdr:col>0</xdr:col>
      <xdr:colOff>22860</xdr:colOff>
      <xdr:row>23</xdr:row>
      <xdr:rowOff>0</xdr:rowOff>
    </xdr:from>
    <xdr:to>
      <xdr:col>1</xdr:col>
      <xdr:colOff>0</xdr:colOff>
      <xdr:row>23</xdr:row>
      <xdr:rowOff>0</xdr:rowOff>
    </xdr:to>
    <xdr:sp macro="" textlink="">
      <xdr:nvSpPr>
        <xdr:cNvPr id="1036" name="Text 12">
          <a:extLst>
            <a:ext uri="{FF2B5EF4-FFF2-40B4-BE49-F238E27FC236}">
              <a16:creationId xmlns:a16="http://schemas.microsoft.com/office/drawing/2014/main" id="{00000000-0008-0000-0200-00000C040000}"/>
            </a:ext>
          </a:extLst>
        </xdr:cNvPr>
        <xdr:cNvSpPr txBox="1">
          <a:spLocks noChangeArrowheads="1"/>
        </xdr:cNvSpPr>
      </xdr:nvSpPr>
      <xdr:spPr bwMode="auto">
        <a:xfrm>
          <a:off x="22860" y="4792980"/>
          <a:ext cx="26441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MS Sans Serif"/>
            </a:rPr>
            <a:t>Clean Fuel Vehicle</a:t>
          </a:r>
        </a:p>
      </xdr:txBody>
    </xdr:sp>
    <xdr:clientData/>
  </xdr:twoCellAnchor>
  <xdr:twoCellAnchor>
    <xdr:from>
      <xdr:col>1</xdr:col>
      <xdr:colOff>30480</xdr:colOff>
      <xdr:row>23</xdr:row>
      <xdr:rowOff>0</xdr:rowOff>
    </xdr:from>
    <xdr:to>
      <xdr:col>2</xdr:col>
      <xdr:colOff>26</xdr:colOff>
      <xdr:row>23</xdr:row>
      <xdr:rowOff>0</xdr:rowOff>
    </xdr:to>
    <xdr:sp macro="" textlink="">
      <xdr:nvSpPr>
        <xdr:cNvPr id="1037" name="Text 13">
          <a:extLst>
            <a:ext uri="{FF2B5EF4-FFF2-40B4-BE49-F238E27FC236}">
              <a16:creationId xmlns:a16="http://schemas.microsoft.com/office/drawing/2014/main" id="{00000000-0008-0000-0200-00000D040000}"/>
            </a:ext>
          </a:extLst>
        </xdr:cNvPr>
        <xdr:cNvSpPr txBox="1">
          <a:spLocks noChangeArrowheads="1"/>
        </xdr:cNvSpPr>
      </xdr:nvSpPr>
      <xdr:spPr bwMode="auto">
        <a:xfrm>
          <a:off x="2689860" y="4792980"/>
          <a:ext cx="7315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MS Sans Serif"/>
            </a:rPr>
            <a:t>Clean Fuel Vehicles</a:t>
          </a:r>
        </a:p>
      </xdr:txBody>
    </xdr:sp>
    <xdr:clientData/>
  </xdr:twoCellAnchor>
  <xdr:twoCellAnchor>
    <xdr:from>
      <xdr:col>2</xdr:col>
      <xdr:colOff>5715</xdr:colOff>
      <xdr:row>23</xdr:row>
      <xdr:rowOff>0</xdr:rowOff>
    </xdr:from>
    <xdr:to>
      <xdr:col>3</xdr:col>
      <xdr:colOff>59</xdr:colOff>
      <xdr:row>23</xdr:row>
      <xdr:rowOff>0</xdr:rowOff>
    </xdr:to>
    <xdr:sp macro="" textlink="">
      <xdr:nvSpPr>
        <xdr:cNvPr id="1038" name="Text 14">
          <a:extLst>
            <a:ext uri="{FF2B5EF4-FFF2-40B4-BE49-F238E27FC236}">
              <a16:creationId xmlns:a16="http://schemas.microsoft.com/office/drawing/2014/main" id="{00000000-0008-0000-0200-00000E040000}"/>
            </a:ext>
          </a:extLst>
        </xdr:cNvPr>
        <xdr:cNvSpPr txBox="1">
          <a:spLocks noChangeArrowheads="1"/>
        </xdr:cNvSpPr>
      </xdr:nvSpPr>
      <xdr:spPr bwMode="auto">
        <a:xfrm>
          <a:off x="3429635" y="7386320"/>
          <a:ext cx="898584"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MS Sans Serif"/>
            </a:rPr>
            <a:t>Clean Ful Vehicles</a:t>
          </a:r>
        </a:p>
      </xdr:txBody>
    </xdr:sp>
    <xdr:clientData/>
  </xdr:twoCellAnchor>
  <xdr:twoCellAnchor>
    <xdr:from>
      <xdr:col>5</xdr:col>
      <xdr:colOff>38100</xdr:colOff>
      <xdr:row>23</xdr:row>
      <xdr:rowOff>0</xdr:rowOff>
    </xdr:from>
    <xdr:to>
      <xdr:col>6</xdr:col>
      <xdr:colOff>7620</xdr:colOff>
      <xdr:row>23</xdr:row>
      <xdr:rowOff>0</xdr:rowOff>
    </xdr:to>
    <xdr:sp macro="" textlink="">
      <xdr:nvSpPr>
        <xdr:cNvPr id="1039" name="Text 15">
          <a:extLst>
            <a:ext uri="{FF2B5EF4-FFF2-40B4-BE49-F238E27FC236}">
              <a16:creationId xmlns:a16="http://schemas.microsoft.com/office/drawing/2014/main" id="{00000000-0008-0000-0200-00000F040000}"/>
            </a:ext>
          </a:extLst>
        </xdr:cNvPr>
        <xdr:cNvSpPr txBox="1">
          <a:spLocks noChangeArrowheads="1"/>
        </xdr:cNvSpPr>
      </xdr:nvSpPr>
      <xdr:spPr bwMode="auto">
        <a:xfrm>
          <a:off x="6583680" y="479298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MS Sans Serif"/>
            </a:rPr>
            <a:t>Clean Fuel Vehicles</a:t>
          </a:r>
        </a:p>
      </xdr:txBody>
    </xdr:sp>
    <xdr:clientData/>
  </xdr:twoCellAnchor>
  <xdr:twoCellAnchor>
    <xdr:from>
      <xdr:col>1</xdr:col>
      <xdr:colOff>30480</xdr:colOff>
      <xdr:row>23</xdr:row>
      <xdr:rowOff>0</xdr:rowOff>
    </xdr:from>
    <xdr:to>
      <xdr:col>2</xdr:col>
      <xdr:colOff>26</xdr:colOff>
      <xdr:row>23</xdr:row>
      <xdr:rowOff>0</xdr:rowOff>
    </xdr:to>
    <xdr:sp macro="" textlink="">
      <xdr:nvSpPr>
        <xdr:cNvPr id="1040" name="Text 16">
          <a:extLst>
            <a:ext uri="{FF2B5EF4-FFF2-40B4-BE49-F238E27FC236}">
              <a16:creationId xmlns:a16="http://schemas.microsoft.com/office/drawing/2014/main" id="{00000000-0008-0000-0200-000010040000}"/>
            </a:ext>
          </a:extLst>
        </xdr:cNvPr>
        <xdr:cNvSpPr txBox="1">
          <a:spLocks noChangeArrowheads="1"/>
        </xdr:cNvSpPr>
      </xdr:nvSpPr>
      <xdr:spPr bwMode="auto">
        <a:xfrm>
          <a:off x="2689860" y="4792980"/>
          <a:ext cx="7315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MS Sans Serif"/>
            </a:rPr>
            <a:t>Clean Fuel Vehicles</a:t>
          </a:r>
        </a:p>
      </xdr:txBody>
    </xdr:sp>
    <xdr:clientData/>
  </xdr:twoCellAnchor>
  <xdr:twoCellAnchor>
    <xdr:from>
      <xdr:col>5</xdr:col>
      <xdr:colOff>38100</xdr:colOff>
      <xdr:row>23</xdr:row>
      <xdr:rowOff>0</xdr:rowOff>
    </xdr:from>
    <xdr:to>
      <xdr:col>6</xdr:col>
      <xdr:colOff>7620</xdr:colOff>
      <xdr:row>23</xdr:row>
      <xdr:rowOff>0</xdr:rowOff>
    </xdr:to>
    <xdr:sp macro="" textlink="">
      <xdr:nvSpPr>
        <xdr:cNvPr id="1042" name="Text 18">
          <a:extLst>
            <a:ext uri="{FF2B5EF4-FFF2-40B4-BE49-F238E27FC236}">
              <a16:creationId xmlns:a16="http://schemas.microsoft.com/office/drawing/2014/main" id="{00000000-0008-0000-0200-000012040000}"/>
            </a:ext>
          </a:extLst>
        </xdr:cNvPr>
        <xdr:cNvSpPr txBox="1">
          <a:spLocks noChangeArrowheads="1"/>
        </xdr:cNvSpPr>
      </xdr:nvSpPr>
      <xdr:spPr bwMode="auto">
        <a:xfrm>
          <a:off x="6583680" y="479298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MS Sans Serif"/>
            </a:rPr>
            <a:t>CleanFuel Vehicles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Env_Rev\Grant%20Programs\TFCA%20PROGRAM\WORKSHTS\EXCEL\2027\Resources\Arterial%20Managment%20EMFAC2021ER-EMFAC2011Class-BayAreaAQMD-2027.xlsx" TargetMode="External"/><Relationship Id="rId1" Type="http://schemas.openxmlformats.org/officeDocument/2006/relationships/externalLinkPath" Target="Resources/Arterial%20Managment%20EMFAC2021ER-EMFAC2011Class-BayAreaAQMD-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FAC2021ER-EMFAC2011Class-BayA"/>
    </sheetNames>
    <sheetDataSet>
      <sheetData sheetId="0">
        <row r="10">
          <cell r="M10">
            <v>621.67639807025</v>
          </cell>
        </row>
        <row r="11">
          <cell r="M11">
            <v>505.48429298172999</v>
          </cell>
        </row>
        <row r="12">
          <cell r="M12">
            <v>411.62293977646999</v>
          </cell>
        </row>
        <row r="13">
          <cell r="M13">
            <v>342.63245783012002</v>
          </cell>
        </row>
        <row r="14">
          <cell r="M14">
            <v>293.74748377207999</v>
          </cell>
        </row>
        <row r="15">
          <cell r="M15">
            <v>261.78301686584001</v>
          </cell>
        </row>
        <row r="16">
          <cell r="M16">
            <v>243.05643318784999</v>
          </cell>
        </row>
        <row r="17">
          <cell r="M17">
            <v>235.17655122987</v>
          </cell>
        </row>
        <row r="18">
          <cell r="M18">
            <v>235.92457334699</v>
          </cell>
        </row>
        <row r="19">
          <cell r="M19">
            <v>243.05021234290001</v>
          </cell>
        </row>
        <row r="20">
          <cell r="M20">
            <v>252.82797760610001</v>
          </cell>
        </row>
        <row r="21">
          <cell r="M21">
            <v>261.64751120472999</v>
          </cell>
        </row>
        <row r="22">
          <cell r="M22">
            <v>271.03187837850999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3.arb.ca.gov/cc/capandtrade/auctionproceeds/communityinvestments.htm" TargetMode="External"/><Relationship Id="rId2" Type="http://schemas.openxmlformats.org/officeDocument/2006/relationships/hyperlink" Target="https://ww3.arb.ca.gov/cc/capandtrade/auctionproceeds/communityinvestments.htm" TargetMode="External"/><Relationship Id="rId1" Type="http://schemas.openxmlformats.org/officeDocument/2006/relationships/hyperlink" Target="http://www.baaqmd.gov/tfca4pm"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189"/>
  <sheetViews>
    <sheetView topLeftCell="A7" zoomScale="80" zoomScaleNormal="80" workbookViewId="0">
      <selection activeCell="W54" sqref="W54"/>
    </sheetView>
  </sheetViews>
  <sheetFormatPr defaultColWidth="8.54296875" defaultRowHeight="13" x14ac:dyDescent="0.3"/>
  <sheetData>
    <row r="1" spans="1:38" ht="18" x14ac:dyDescent="0.4">
      <c r="A1" s="94" t="s">
        <v>59</v>
      </c>
    </row>
    <row r="2" spans="1:38" ht="18" x14ac:dyDescent="0.4">
      <c r="A2" s="94" t="s">
        <v>156</v>
      </c>
    </row>
    <row r="3" spans="1:38" x14ac:dyDescent="0.3">
      <c r="A3" s="60" t="s">
        <v>157</v>
      </c>
    </row>
    <row r="4" spans="1:38" x14ac:dyDescent="0.3">
      <c r="A4" s="60"/>
    </row>
    <row r="5" spans="1:38" ht="14" x14ac:dyDescent="0.3">
      <c r="A5" s="142" t="s">
        <v>158</v>
      </c>
    </row>
    <row r="6" spans="1:38" ht="14" x14ac:dyDescent="0.3">
      <c r="A6" s="143" t="s">
        <v>88</v>
      </c>
    </row>
    <row r="8" spans="1:38" x14ac:dyDescent="0.3">
      <c r="A8" s="158"/>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row>
    <row r="9" spans="1:38" x14ac:dyDescent="0.3">
      <c r="A9" s="158"/>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row>
    <row r="10" spans="1:38" x14ac:dyDescent="0.3">
      <c r="A10" s="158"/>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row>
    <row r="11" spans="1:38" x14ac:dyDescent="0.3">
      <c r="A11" s="158"/>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row>
    <row r="12" spans="1:38" x14ac:dyDescent="0.3">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row>
    <row r="13" spans="1:38" x14ac:dyDescent="0.3">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row>
    <row r="14" spans="1:38" x14ac:dyDescent="0.3">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row>
    <row r="15" spans="1:38" x14ac:dyDescent="0.3">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row>
    <row r="16" spans="1:38" x14ac:dyDescent="0.3">
      <c r="A16" s="158"/>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row>
    <row r="17" spans="1:38" x14ac:dyDescent="0.3">
      <c r="A17" s="158"/>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row>
    <row r="18" spans="1:38" x14ac:dyDescent="0.3">
      <c r="A18" s="158"/>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row>
    <row r="19" spans="1:38" x14ac:dyDescent="0.3">
      <c r="A19" s="158"/>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row>
    <row r="20" spans="1:38" x14ac:dyDescent="0.3">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row>
    <row r="21" spans="1:38" x14ac:dyDescent="0.3">
      <c r="A21" s="158"/>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row>
    <row r="22" spans="1:38" x14ac:dyDescent="0.3">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row>
    <row r="23" spans="1:38" x14ac:dyDescent="0.3">
      <c r="A23" s="158"/>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row>
    <row r="24" spans="1:38" x14ac:dyDescent="0.3">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row>
    <row r="25" spans="1:38" x14ac:dyDescent="0.3">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row>
    <row r="26" spans="1:38" x14ac:dyDescent="0.3">
      <c r="A26" s="158"/>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row>
    <row r="27" spans="1:38" x14ac:dyDescent="0.3">
      <c r="A27" s="158"/>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row>
    <row r="28" spans="1:38" x14ac:dyDescent="0.3">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row>
    <row r="29" spans="1:38" x14ac:dyDescent="0.3">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row>
    <row r="30" spans="1:38" x14ac:dyDescent="0.3">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row>
    <row r="31" spans="1:38" ht="9.75" customHeight="1" x14ac:dyDescent="0.3">
      <c r="A31" s="158"/>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row>
    <row r="32" spans="1:38" x14ac:dyDescent="0.3">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row>
    <row r="33" spans="1:38" x14ac:dyDescent="0.3">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row>
    <row r="34" spans="1:38" x14ac:dyDescent="0.3">
      <c r="A34" s="158"/>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row>
    <row r="35" spans="1:38" x14ac:dyDescent="0.3">
      <c r="A35" s="158"/>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row>
    <row r="36" spans="1:38" x14ac:dyDescent="0.3">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row>
    <row r="37" spans="1:38" x14ac:dyDescent="0.3">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row>
    <row r="38" spans="1:38" x14ac:dyDescent="0.3">
      <c r="A38" s="158"/>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row>
    <row r="39" spans="1:38" x14ac:dyDescent="0.3">
      <c r="A39" s="158"/>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row>
    <row r="40" spans="1:38" x14ac:dyDescent="0.3">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row>
    <row r="41" spans="1:38" x14ac:dyDescent="0.3">
      <c r="A41" s="158"/>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row>
    <row r="42" spans="1:38" x14ac:dyDescent="0.3">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row>
    <row r="43" spans="1:38" x14ac:dyDescent="0.3">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row>
    <row r="44" spans="1:38" x14ac:dyDescent="0.3">
      <c r="A44" s="158"/>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row>
    <row r="45" spans="1:38" x14ac:dyDescent="0.3">
      <c r="A45" s="158"/>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row>
    <row r="46" spans="1:38" x14ac:dyDescent="0.3">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row>
    <row r="47" spans="1:38" x14ac:dyDescent="0.3">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row>
    <row r="48" spans="1:38" x14ac:dyDescent="0.3">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row>
    <row r="49" spans="1:38" x14ac:dyDescent="0.3">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row>
    <row r="50" spans="1:38" x14ac:dyDescent="0.3">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row>
    <row r="51" spans="1:38" x14ac:dyDescent="0.3">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row>
    <row r="52" spans="1:38" x14ac:dyDescent="0.3">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row>
    <row r="53" spans="1:38" x14ac:dyDescent="0.3">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row>
    <row r="54" spans="1:38" x14ac:dyDescent="0.3">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row>
    <row r="55" spans="1:38" x14ac:dyDescent="0.3">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row>
    <row r="56" spans="1:38" x14ac:dyDescent="0.3">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row>
    <row r="57" spans="1:38" x14ac:dyDescent="0.3">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row>
    <row r="58" spans="1:38" x14ac:dyDescent="0.3">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row>
    <row r="59" spans="1:38" x14ac:dyDescent="0.3">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row>
    <row r="60" spans="1:38" x14ac:dyDescent="0.3">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row>
    <row r="61" spans="1:38" x14ac:dyDescent="0.3">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row>
    <row r="62" spans="1:38" x14ac:dyDescent="0.3">
      <c r="A62" s="159" t="s">
        <v>98</v>
      </c>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row>
    <row r="63" spans="1:38" x14ac:dyDescent="0.3">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row>
    <row r="64" spans="1:38" x14ac:dyDescent="0.3">
      <c r="A64" s="158"/>
      <c r="B64" s="158"/>
      <c r="C64" s="158"/>
      <c r="D64" s="158"/>
      <c r="E64" s="158"/>
      <c r="F64" s="158"/>
      <c r="G64" s="158"/>
      <c r="H64" s="158"/>
      <c r="I64" s="160" t="s">
        <v>159</v>
      </c>
      <c r="J64" s="158" t="s">
        <v>99</v>
      </c>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row>
    <row r="65" spans="1:38" x14ac:dyDescent="0.3">
      <c r="A65" s="158"/>
      <c r="B65" s="158"/>
      <c r="C65" s="158"/>
      <c r="D65" s="158"/>
      <c r="E65" s="158"/>
      <c r="F65" s="158"/>
      <c r="G65" s="158"/>
      <c r="H65" s="158"/>
      <c r="I65" s="160" t="s">
        <v>61</v>
      </c>
      <c r="J65" s="158" t="s">
        <v>100</v>
      </c>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row>
    <row r="66" spans="1:38" x14ac:dyDescent="0.3">
      <c r="A66" s="158"/>
      <c r="B66" s="158"/>
      <c r="C66" s="158"/>
      <c r="D66" s="158"/>
      <c r="E66" s="158"/>
      <c r="F66" s="158"/>
      <c r="G66" s="158"/>
      <c r="H66" s="158"/>
      <c r="I66" s="160" t="s">
        <v>62</v>
      </c>
      <c r="J66" s="158" t="s">
        <v>101</v>
      </c>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row>
    <row r="67" spans="1:38" x14ac:dyDescent="0.3">
      <c r="A67" s="158"/>
      <c r="B67" s="158"/>
      <c r="C67" s="158"/>
      <c r="D67" s="158"/>
      <c r="E67" s="158"/>
      <c r="F67" s="158"/>
      <c r="G67" s="158"/>
      <c r="H67" s="158"/>
      <c r="I67" s="160" t="s">
        <v>102</v>
      </c>
      <c r="J67" s="158" t="s">
        <v>103</v>
      </c>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row>
    <row r="68" spans="1:38" x14ac:dyDescent="0.3">
      <c r="A68" s="158"/>
      <c r="B68" s="158"/>
      <c r="C68" s="158"/>
      <c r="D68" s="158"/>
      <c r="E68" s="158"/>
      <c r="F68" s="158"/>
      <c r="G68" s="158"/>
      <c r="H68" s="158"/>
      <c r="I68" s="160" t="s">
        <v>84</v>
      </c>
      <c r="J68" s="158" t="s">
        <v>104</v>
      </c>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row>
    <row r="69" spans="1:38" x14ac:dyDescent="0.3">
      <c r="A69" s="158"/>
      <c r="B69" s="158"/>
      <c r="C69" s="158"/>
      <c r="D69" s="158"/>
      <c r="E69" s="158"/>
      <c r="F69" s="158"/>
      <c r="G69" s="158"/>
      <c r="H69" s="158"/>
      <c r="I69" s="160" t="s">
        <v>63</v>
      </c>
      <c r="J69" s="158" t="s">
        <v>105</v>
      </c>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row>
    <row r="70" spans="1:38" x14ac:dyDescent="0.3">
      <c r="A70" s="158"/>
      <c r="B70" s="158"/>
      <c r="C70" s="158"/>
      <c r="D70" s="158"/>
      <c r="E70" s="158"/>
      <c r="F70" s="158"/>
      <c r="G70" s="158"/>
      <c r="H70" s="158"/>
      <c r="I70" s="160" t="s">
        <v>64</v>
      </c>
      <c r="J70" s="158" t="s">
        <v>106</v>
      </c>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row>
    <row r="71" spans="1:38" x14ac:dyDescent="0.3">
      <c r="A71" s="158"/>
      <c r="B71" s="158"/>
      <c r="C71" s="158"/>
      <c r="D71" s="158"/>
      <c r="E71" s="158"/>
      <c r="F71" s="158"/>
      <c r="G71" s="158"/>
      <c r="H71" s="158"/>
      <c r="I71" s="160" t="s">
        <v>66</v>
      </c>
      <c r="J71" s="158" t="s">
        <v>107</v>
      </c>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row>
    <row r="72" spans="1:38" x14ac:dyDescent="0.3">
      <c r="A72" s="158"/>
      <c r="B72" s="158"/>
      <c r="C72" s="158"/>
      <c r="D72" s="158"/>
      <c r="E72" s="158"/>
      <c r="F72" s="158"/>
      <c r="G72" s="158"/>
      <c r="H72" s="158"/>
      <c r="I72" s="160" t="s">
        <v>67</v>
      </c>
      <c r="J72" s="158" t="s">
        <v>108</v>
      </c>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row>
    <row r="73" spans="1:38" x14ac:dyDescent="0.3">
      <c r="A73" s="158"/>
      <c r="B73" s="158"/>
      <c r="C73" s="158"/>
      <c r="D73" s="158"/>
      <c r="E73" s="158"/>
      <c r="F73" s="158"/>
      <c r="G73" s="158"/>
      <c r="H73" s="158"/>
      <c r="I73" s="160" t="s">
        <v>68</v>
      </c>
      <c r="J73" s="158" t="s">
        <v>109</v>
      </c>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row>
    <row r="74" spans="1:38" x14ac:dyDescent="0.3">
      <c r="A74" s="158"/>
      <c r="B74" s="158"/>
      <c r="C74" s="158"/>
      <c r="D74" s="158"/>
      <c r="E74" s="158"/>
      <c r="F74" s="158"/>
      <c r="G74" s="158"/>
      <c r="H74" s="158"/>
      <c r="I74" s="160" t="s">
        <v>69</v>
      </c>
      <c r="J74" s="161" t="s">
        <v>110</v>
      </c>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row>
    <row r="75" spans="1:38" x14ac:dyDescent="0.3">
      <c r="A75" s="158"/>
      <c r="B75" s="158"/>
      <c r="C75" s="158"/>
      <c r="D75" s="158"/>
      <c r="E75" s="158"/>
      <c r="F75" s="158"/>
      <c r="G75" s="158"/>
      <c r="H75" s="158"/>
      <c r="I75" s="160" t="s">
        <v>70</v>
      </c>
      <c r="J75" s="161" t="s">
        <v>111</v>
      </c>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row>
    <row r="76" spans="1:38" x14ac:dyDescent="0.3">
      <c r="A76" s="158"/>
      <c r="B76" s="158"/>
      <c r="C76" s="158"/>
      <c r="D76" s="158"/>
      <c r="E76" s="158"/>
      <c r="F76" s="158"/>
      <c r="G76" s="158"/>
      <c r="H76" s="158"/>
      <c r="I76" s="160" t="s">
        <v>71</v>
      </c>
      <c r="J76" s="161" t="s">
        <v>112</v>
      </c>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row>
    <row r="77" spans="1:38" x14ac:dyDescent="0.3">
      <c r="A77" s="158"/>
      <c r="B77" s="158"/>
      <c r="C77" s="158"/>
      <c r="D77" s="158"/>
      <c r="E77" s="158"/>
      <c r="F77" s="158"/>
      <c r="G77" s="158"/>
      <c r="H77" s="158"/>
      <c r="I77" s="160" t="s">
        <v>72</v>
      </c>
      <c r="J77" s="161" t="s">
        <v>113</v>
      </c>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row>
    <row r="78" spans="1:38" x14ac:dyDescent="0.3">
      <c r="A78" s="158"/>
      <c r="B78" s="158"/>
      <c r="C78" s="158"/>
      <c r="D78" s="158"/>
      <c r="E78" s="158"/>
      <c r="F78" s="158"/>
      <c r="G78" s="158"/>
      <c r="H78" s="158"/>
      <c r="I78" s="160" t="s">
        <v>73</v>
      </c>
      <c r="J78" s="161" t="s">
        <v>114</v>
      </c>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row>
    <row r="79" spans="1:38" x14ac:dyDescent="0.3">
      <c r="A79" s="158"/>
      <c r="B79" s="158"/>
      <c r="C79" s="158"/>
      <c r="D79" s="158"/>
      <c r="E79" s="158"/>
      <c r="F79" s="158"/>
      <c r="G79" s="158"/>
      <c r="H79" s="158"/>
      <c r="I79" s="160" t="s">
        <v>0</v>
      </c>
      <c r="J79" s="161" t="s">
        <v>115</v>
      </c>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row>
    <row r="80" spans="1:38" x14ac:dyDescent="0.3">
      <c r="A80" s="158"/>
      <c r="B80" s="158"/>
      <c r="C80" s="158"/>
      <c r="D80" s="158"/>
      <c r="E80" s="158"/>
      <c r="F80" s="158"/>
      <c r="G80" s="158"/>
      <c r="H80" s="158"/>
      <c r="I80" s="160" t="s">
        <v>2</v>
      </c>
      <c r="J80" s="158" t="s">
        <v>116</v>
      </c>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row>
    <row r="81" spans="1:38" x14ac:dyDescent="0.3">
      <c r="A81" s="158"/>
      <c r="B81" s="158"/>
      <c r="C81" s="158"/>
      <c r="D81" s="158"/>
      <c r="E81" s="158"/>
      <c r="F81" s="158"/>
      <c r="G81" s="158"/>
      <c r="H81" s="158"/>
      <c r="I81" s="160" t="s">
        <v>3</v>
      </c>
      <c r="J81" s="158" t="s">
        <v>117</v>
      </c>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row>
    <row r="82" spans="1:38" x14ac:dyDescent="0.3">
      <c r="A82" s="158"/>
      <c r="B82" s="158"/>
      <c r="C82" s="158"/>
      <c r="D82" s="158"/>
      <c r="E82" s="158"/>
      <c r="F82" s="158"/>
      <c r="G82" s="158"/>
      <c r="H82" s="158"/>
      <c r="I82" s="160" t="s">
        <v>118</v>
      </c>
      <c r="J82" s="158" t="s">
        <v>119</v>
      </c>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row>
    <row r="83" spans="1:38" x14ac:dyDescent="0.3">
      <c r="A83" s="158"/>
      <c r="B83" s="158"/>
      <c r="C83" s="158"/>
      <c r="D83" s="158"/>
      <c r="E83" s="158"/>
      <c r="F83" s="158"/>
      <c r="G83" s="158"/>
      <c r="H83" s="158"/>
      <c r="I83" s="160" t="s">
        <v>120</v>
      </c>
      <c r="J83" s="158" t="s">
        <v>121</v>
      </c>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row>
    <row r="84" spans="1:38" x14ac:dyDescent="0.3">
      <c r="A84" s="158"/>
      <c r="B84" s="158"/>
      <c r="C84" s="158"/>
      <c r="D84" s="158"/>
      <c r="E84" s="158"/>
      <c r="F84" s="158"/>
      <c r="G84" s="158"/>
      <c r="H84" s="158"/>
      <c r="I84" s="160" t="s">
        <v>122</v>
      </c>
      <c r="J84" s="158" t="s">
        <v>121</v>
      </c>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row>
    <row r="85" spans="1:38" x14ac:dyDescent="0.3">
      <c r="A85" s="158"/>
      <c r="B85" s="158"/>
      <c r="C85" s="158"/>
      <c r="D85" s="158"/>
      <c r="E85" s="158"/>
      <c r="F85" s="158"/>
      <c r="G85" s="158"/>
      <c r="H85" s="158"/>
      <c r="I85" s="160" t="s">
        <v>123</v>
      </c>
      <c r="J85" s="158" t="s">
        <v>124</v>
      </c>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row>
    <row r="86" spans="1:38" x14ac:dyDescent="0.3">
      <c r="A86" s="158"/>
      <c r="B86" s="158"/>
      <c r="C86" s="158"/>
      <c r="D86" s="158"/>
      <c r="E86" s="158"/>
      <c r="F86" s="158"/>
      <c r="G86" s="158"/>
      <c r="H86" s="158"/>
      <c r="I86" s="160" t="s">
        <v>125</v>
      </c>
      <c r="J86" s="158" t="s">
        <v>126</v>
      </c>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row>
    <row r="87" spans="1:38" x14ac:dyDescent="0.3">
      <c r="A87" s="158"/>
      <c r="B87" s="158"/>
      <c r="C87" s="158"/>
      <c r="D87" s="158"/>
      <c r="E87" s="158"/>
      <c r="F87" s="158"/>
      <c r="G87" s="158"/>
      <c r="H87" s="158"/>
      <c r="I87" s="160" t="s">
        <v>127</v>
      </c>
      <c r="J87" s="158" t="s">
        <v>128</v>
      </c>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row>
    <row r="88" spans="1:38" x14ac:dyDescent="0.3">
      <c r="A88" s="158"/>
      <c r="B88" s="158"/>
      <c r="C88" s="158"/>
      <c r="D88" s="158"/>
      <c r="E88" s="158"/>
      <c r="F88" s="158"/>
      <c r="G88" s="158"/>
      <c r="H88" s="158"/>
      <c r="I88" s="160" t="s">
        <v>129</v>
      </c>
      <c r="J88" s="158" t="s">
        <v>130</v>
      </c>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row>
    <row r="89" spans="1:38" x14ac:dyDescent="0.3">
      <c r="A89" s="158"/>
      <c r="B89" s="158"/>
      <c r="C89" s="158"/>
      <c r="D89" s="158"/>
      <c r="E89" s="158"/>
      <c r="F89" s="158"/>
      <c r="G89" s="158"/>
      <c r="H89" s="158"/>
      <c r="I89" s="160" t="s">
        <v>131</v>
      </c>
      <c r="J89" s="158" t="s">
        <v>132</v>
      </c>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row>
    <row r="90" spans="1:38" x14ac:dyDescent="0.3">
      <c r="A90" s="158"/>
      <c r="B90" s="158"/>
      <c r="C90" s="158"/>
      <c r="D90" s="158"/>
      <c r="E90" s="158"/>
      <c r="F90" s="158"/>
      <c r="G90" s="158"/>
      <c r="H90" s="158"/>
      <c r="I90" s="160" t="s">
        <v>133</v>
      </c>
      <c r="J90" s="158" t="s">
        <v>134</v>
      </c>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row>
    <row r="91" spans="1:38" x14ac:dyDescent="0.3">
      <c r="A91" s="158"/>
      <c r="B91" s="158"/>
      <c r="C91" s="158"/>
      <c r="D91" s="158"/>
      <c r="E91" s="158"/>
      <c r="F91" s="158"/>
      <c r="G91" s="158"/>
      <c r="H91" s="158"/>
      <c r="I91" s="160" t="s">
        <v>135</v>
      </c>
      <c r="J91" s="158" t="s">
        <v>136</v>
      </c>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row>
    <row r="92" spans="1:38" x14ac:dyDescent="0.3">
      <c r="A92" s="158"/>
      <c r="B92" s="158"/>
      <c r="C92" s="158"/>
      <c r="D92" s="158"/>
      <c r="E92" s="158"/>
      <c r="F92" s="158"/>
      <c r="G92" s="158"/>
      <c r="H92" s="158"/>
      <c r="I92" s="160" t="s">
        <v>137</v>
      </c>
      <c r="J92" s="158" t="s">
        <v>138</v>
      </c>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row>
    <row r="93" spans="1:38" x14ac:dyDescent="0.3">
      <c r="A93" s="158"/>
      <c r="B93" s="158"/>
      <c r="C93" s="158"/>
      <c r="D93" s="158"/>
      <c r="E93" s="158"/>
      <c r="F93" s="158"/>
      <c r="G93" s="158"/>
      <c r="H93" s="158"/>
      <c r="I93" s="160" t="s">
        <v>139</v>
      </c>
      <c r="J93" s="158" t="s">
        <v>138</v>
      </c>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row>
    <row r="94" spans="1:38" x14ac:dyDescent="0.3">
      <c r="A94" s="158"/>
      <c r="B94" s="158"/>
      <c r="C94" s="158"/>
      <c r="D94" s="158"/>
      <c r="E94" s="158"/>
      <c r="F94" s="158"/>
      <c r="G94" s="158"/>
      <c r="H94" s="158"/>
      <c r="I94" s="160" t="s">
        <v>140</v>
      </c>
      <c r="J94" s="158" t="s">
        <v>138</v>
      </c>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row>
    <row r="95" spans="1:38" x14ac:dyDescent="0.3">
      <c r="A95" s="158"/>
      <c r="B95" s="158"/>
      <c r="C95" s="158"/>
      <c r="D95" s="158"/>
      <c r="E95" s="158"/>
      <c r="F95" s="158"/>
      <c r="G95" s="158"/>
      <c r="H95" s="158"/>
      <c r="I95" s="160" t="s">
        <v>141</v>
      </c>
      <c r="J95" s="158" t="s">
        <v>142</v>
      </c>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row>
    <row r="96" spans="1:38" x14ac:dyDescent="0.3">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row>
    <row r="97" spans="1:38" x14ac:dyDescent="0.3">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row>
    <row r="98" spans="1:38" x14ac:dyDescent="0.3">
      <c r="A98" s="158"/>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row>
    <row r="99" spans="1:38" x14ac:dyDescent="0.3">
      <c r="A99" s="159" t="s">
        <v>155</v>
      </c>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row>
    <row r="100" spans="1:38" x14ac:dyDescent="0.3">
      <c r="A100" s="158"/>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row>
    <row r="101" spans="1:38" ht="112.5" customHeight="1" x14ac:dyDescent="0.3">
      <c r="A101" s="189" t="s">
        <v>147</v>
      </c>
      <c r="B101" s="189"/>
      <c r="C101" s="189"/>
      <c r="D101" s="189"/>
      <c r="E101" s="189"/>
      <c r="F101" s="189"/>
      <c r="G101" s="189"/>
      <c r="H101" s="189"/>
      <c r="I101" s="189"/>
      <c r="J101" s="189"/>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row>
    <row r="102" spans="1:38" x14ac:dyDescent="0.3">
      <c r="A102" s="183" t="s">
        <v>148</v>
      </c>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row>
    <row r="103" spans="1:38" x14ac:dyDescent="0.3">
      <c r="A103" s="184"/>
    </row>
    <row r="104" spans="1:38" ht="73.900000000000006" customHeight="1" x14ac:dyDescent="0.3">
      <c r="A104" s="189" t="s">
        <v>149</v>
      </c>
      <c r="B104" s="189"/>
      <c r="C104" s="189"/>
      <c r="D104" s="189"/>
      <c r="E104" s="189"/>
      <c r="F104" s="189"/>
      <c r="G104" s="189"/>
      <c r="H104" s="189"/>
      <c r="I104" s="189"/>
      <c r="J104" s="189"/>
    </row>
    <row r="105" spans="1:38" x14ac:dyDescent="0.3">
      <c r="A105" s="183" t="s">
        <v>148</v>
      </c>
    </row>
    <row r="106" spans="1:38" x14ac:dyDescent="0.3">
      <c r="A106" s="184"/>
    </row>
    <row r="107" spans="1:38" ht="83.25" customHeight="1" x14ac:dyDescent="0.3">
      <c r="A107" s="189" t="s">
        <v>150</v>
      </c>
      <c r="B107" s="189"/>
      <c r="C107" s="189"/>
      <c r="D107" s="189"/>
      <c r="E107" s="189"/>
      <c r="F107" s="189"/>
      <c r="G107" s="189"/>
      <c r="H107" s="189"/>
      <c r="I107" s="189"/>
      <c r="J107" s="189"/>
    </row>
    <row r="108" spans="1:38" x14ac:dyDescent="0.3">
      <c r="A108" s="184"/>
    </row>
    <row r="109" spans="1:38" x14ac:dyDescent="0.3">
      <c r="A109" s="185" t="s">
        <v>151</v>
      </c>
    </row>
    <row r="110" spans="1:38" x14ac:dyDescent="0.3">
      <c r="A110" s="185"/>
    </row>
    <row r="111" spans="1:38" x14ac:dyDescent="0.3">
      <c r="A111" s="185"/>
    </row>
    <row r="112" spans="1:38" x14ac:dyDescent="0.3">
      <c r="A112" s="185"/>
    </row>
    <row r="113" spans="1:1" x14ac:dyDescent="0.3">
      <c r="A113" s="185"/>
    </row>
    <row r="114" spans="1:1" x14ac:dyDescent="0.3">
      <c r="A114" s="185"/>
    </row>
    <row r="115" spans="1:1" x14ac:dyDescent="0.3">
      <c r="A115" s="185"/>
    </row>
    <row r="116" spans="1:1" x14ac:dyDescent="0.3">
      <c r="A116" s="185"/>
    </row>
    <row r="117" spans="1:1" x14ac:dyDescent="0.3">
      <c r="A117" s="185"/>
    </row>
    <row r="118" spans="1:1" x14ac:dyDescent="0.3">
      <c r="A118" s="185"/>
    </row>
    <row r="119" spans="1:1" x14ac:dyDescent="0.3">
      <c r="A119" s="185"/>
    </row>
    <row r="120" spans="1:1" x14ac:dyDescent="0.3">
      <c r="A120" s="185"/>
    </row>
    <row r="121" spans="1:1" x14ac:dyDescent="0.3">
      <c r="A121" s="185"/>
    </row>
    <row r="122" spans="1:1" x14ac:dyDescent="0.3">
      <c r="A122" s="185"/>
    </row>
    <row r="123" spans="1:1" x14ac:dyDescent="0.3">
      <c r="A123" s="185"/>
    </row>
    <row r="124" spans="1:1" x14ac:dyDescent="0.3">
      <c r="A124" s="184"/>
    </row>
    <row r="125" spans="1:1" x14ac:dyDescent="0.3">
      <c r="A125" s="185" t="s">
        <v>152</v>
      </c>
    </row>
    <row r="126" spans="1:1" x14ac:dyDescent="0.3">
      <c r="A126" s="185"/>
    </row>
    <row r="127" spans="1:1" x14ac:dyDescent="0.3">
      <c r="A127" s="185"/>
    </row>
    <row r="128" spans="1:1" x14ac:dyDescent="0.3">
      <c r="A128" s="185"/>
    </row>
    <row r="129" spans="1:1" x14ac:dyDescent="0.3">
      <c r="A129" s="185"/>
    </row>
    <row r="130" spans="1:1" x14ac:dyDescent="0.3">
      <c r="A130" s="185"/>
    </row>
    <row r="131" spans="1:1" x14ac:dyDescent="0.3">
      <c r="A131" s="185"/>
    </row>
    <row r="132" spans="1:1" x14ac:dyDescent="0.3">
      <c r="A132" s="185"/>
    </row>
    <row r="133" spans="1:1" x14ac:dyDescent="0.3">
      <c r="A133" s="185"/>
    </row>
    <row r="134" spans="1:1" x14ac:dyDescent="0.3">
      <c r="A134" s="185"/>
    </row>
    <row r="135" spans="1:1" x14ac:dyDescent="0.3">
      <c r="A135" s="185"/>
    </row>
    <row r="136" spans="1:1" x14ac:dyDescent="0.3">
      <c r="A136" s="185"/>
    </row>
    <row r="137" spans="1:1" x14ac:dyDescent="0.3">
      <c r="A137" s="185"/>
    </row>
    <row r="138" spans="1:1" x14ac:dyDescent="0.3">
      <c r="A138" s="185"/>
    </row>
    <row r="139" spans="1:1" x14ac:dyDescent="0.3">
      <c r="A139" s="185"/>
    </row>
    <row r="140" spans="1:1" x14ac:dyDescent="0.3">
      <c r="A140" s="185"/>
    </row>
    <row r="141" spans="1:1" x14ac:dyDescent="0.3">
      <c r="A141" s="185"/>
    </row>
    <row r="142" spans="1:1" x14ac:dyDescent="0.3">
      <c r="A142" s="184"/>
    </row>
    <row r="143" spans="1:1" x14ac:dyDescent="0.3">
      <c r="A143" s="185"/>
    </row>
    <row r="144" spans="1:1" x14ac:dyDescent="0.3">
      <c r="A144" s="184"/>
    </row>
    <row r="145" spans="1:1" x14ac:dyDescent="0.3">
      <c r="A145" s="185"/>
    </row>
    <row r="146" spans="1:1" x14ac:dyDescent="0.3">
      <c r="A146" s="185" t="s">
        <v>153</v>
      </c>
    </row>
    <row r="147" spans="1:1" x14ac:dyDescent="0.3">
      <c r="A147" s="185"/>
    </row>
    <row r="148" spans="1:1" x14ac:dyDescent="0.3">
      <c r="A148" s="185"/>
    </row>
    <row r="149" spans="1:1" x14ac:dyDescent="0.3">
      <c r="A149" s="185"/>
    </row>
    <row r="150" spans="1:1" x14ac:dyDescent="0.3">
      <c r="A150" s="185"/>
    </row>
    <row r="151" spans="1:1" x14ac:dyDescent="0.3">
      <c r="A151" s="185"/>
    </row>
    <row r="152" spans="1:1" x14ac:dyDescent="0.3">
      <c r="A152" s="185"/>
    </row>
    <row r="153" spans="1:1" x14ac:dyDescent="0.3">
      <c r="A153" s="185"/>
    </row>
    <row r="154" spans="1:1" x14ac:dyDescent="0.3">
      <c r="A154" s="185"/>
    </row>
    <row r="155" spans="1:1" x14ac:dyDescent="0.3">
      <c r="A155" s="185"/>
    </row>
    <row r="156" spans="1:1" x14ac:dyDescent="0.3">
      <c r="A156" s="185"/>
    </row>
    <row r="157" spans="1:1" x14ac:dyDescent="0.3">
      <c r="A157" s="185"/>
    </row>
    <row r="158" spans="1:1" x14ac:dyDescent="0.3">
      <c r="A158" s="185"/>
    </row>
    <row r="159" spans="1:1" x14ac:dyDescent="0.3">
      <c r="A159" s="185"/>
    </row>
    <row r="160" spans="1:1" x14ac:dyDescent="0.3">
      <c r="A160" s="185"/>
    </row>
    <row r="161" spans="1:1" x14ac:dyDescent="0.3">
      <c r="A161" s="185"/>
    </row>
    <row r="162" spans="1:1" x14ac:dyDescent="0.3">
      <c r="A162" s="185"/>
    </row>
    <row r="163" spans="1:1" x14ac:dyDescent="0.3">
      <c r="A163" s="185"/>
    </row>
    <row r="164" spans="1:1" x14ac:dyDescent="0.3">
      <c r="A164" s="185"/>
    </row>
    <row r="165" spans="1:1" x14ac:dyDescent="0.3">
      <c r="A165" s="185"/>
    </row>
    <row r="166" spans="1:1" x14ac:dyDescent="0.3">
      <c r="A166" s="185"/>
    </row>
    <row r="167" spans="1:1" x14ac:dyDescent="0.3">
      <c r="A167" s="184"/>
    </row>
    <row r="168" spans="1:1" x14ac:dyDescent="0.3">
      <c r="A168" s="185" t="s">
        <v>154</v>
      </c>
    </row>
    <row r="169" spans="1:1" x14ac:dyDescent="0.3">
      <c r="A169" s="184"/>
    </row>
    <row r="170" spans="1:1" x14ac:dyDescent="0.3">
      <c r="A170" s="184"/>
    </row>
    <row r="171" spans="1:1" x14ac:dyDescent="0.3">
      <c r="A171" s="184"/>
    </row>
    <row r="172" spans="1:1" x14ac:dyDescent="0.3">
      <c r="A172" s="184"/>
    </row>
    <row r="173" spans="1:1" x14ac:dyDescent="0.3">
      <c r="A173" s="184"/>
    </row>
    <row r="174" spans="1:1" x14ac:dyDescent="0.3">
      <c r="A174" s="184"/>
    </row>
    <row r="175" spans="1:1" x14ac:dyDescent="0.3">
      <c r="A175" s="184"/>
    </row>
    <row r="176" spans="1:1" x14ac:dyDescent="0.3">
      <c r="A176" s="184"/>
    </row>
    <row r="177" spans="1:1" x14ac:dyDescent="0.3">
      <c r="A177" s="184"/>
    </row>
    <row r="178" spans="1:1" x14ac:dyDescent="0.3">
      <c r="A178" s="184"/>
    </row>
    <row r="179" spans="1:1" x14ac:dyDescent="0.3">
      <c r="A179" s="184"/>
    </row>
    <row r="180" spans="1:1" x14ac:dyDescent="0.3">
      <c r="A180" s="184"/>
    </row>
    <row r="181" spans="1:1" x14ac:dyDescent="0.3">
      <c r="A181" s="184"/>
    </row>
    <row r="182" spans="1:1" x14ac:dyDescent="0.3">
      <c r="A182" s="184"/>
    </row>
    <row r="183" spans="1:1" x14ac:dyDescent="0.3">
      <c r="A183" s="184"/>
    </row>
    <row r="184" spans="1:1" x14ac:dyDescent="0.3">
      <c r="A184" s="184"/>
    </row>
    <row r="185" spans="1:1" x14ac:dyDescent="0.3">
      <c r="A185" s="184"/>
    </row>
    <row r="186" spans="1:1" x14ac:dyDescent="0.3">
      <c r="A186" s="184"/>
    </row>
    <row r="187" spans="1:1" x14ac:dyDescent="0.3">
      <c r="A187" s="184"/>
    </row>
    <row r="188" spans="1:1" x14ac:dyDescent="0.3">
      <c r="A188" s="184"/>
    </row>
    <row r="189" spans="1:1" x14ac:dyDescent="0.3">
      <c r="A189" s="184"/>
    </row>
  </sheetData>
  <sheetProtection algorithmName="SHA-512" hashValue="9H+KMZGzV/a4voC4L+IzmpXy+hrz0zL3Pahct95mTaYAIZHb7C6DGMhXHgsqnbV2R070tv9wOYV5vkfinDM3nw==" saltValue="+pK6hyPIj0nA4iMbfcBnoA==" spinCount="100000" sheet="1" objects="1" scenarios="1"/>
  <mergeCells count="3">
    <mergeCell ref="A101:J101"/>
    <mergeCell ref="A104:J104"/>
    <mergeCell ref="A107:J107"/>
  </mergeCells>
  <phoneticPr fontId="18" type="noConversion"/>
  <hyperlinks>
    <hyperlink ref="A6" r:id="rId1" xr:uid="{00000000-0004-0000-0000-000000000000}"/>
    <hyperlink ref="A102" r:id="rId2" xr:uid="{944490F7-52B1-4C4E-9EEF-8A1945AA0429}"/>
    <hyperlink ref="A105" r:id="rId3" xr:uid="{5EF87DA6-DD5C-444A-82AC-7C1E60D163D3}"/>
  </hyperlinks>
  <pageMargins left="0.75" right="0.75" top="1" bottom="1" header="0.5" footer="0.5"/>
  <pageSetup scale="88" orientation="portrait" r:id="rId4"/>
  <headerFooter alignWithMargins="0"/>
  <customProperties>
    <customPr name="fd943e9f2" r:id="rId5"/>
  </customPropertie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3"/>
  <sheetViews>
    <sheetView tabSelected="1" topLeftCell="A13" zoomScale="80" zoomScaleNormal="80" workbookViewId="0">
      <selection activeCell="I36" sqref="I36"/>
    </sheetView>
  </sheetViews>
  <sheetFormatPr defaultColWidth="8.54296875" defaultRowHeight="13" x14ac:dyDescent="0.3"/>
  <cols>
    <col min="1" max="1" width="31.6328125" customWidth="1"/>
    <col min="2" max="2" width="63.1796875" customWidth="1"/>
  </cols>
  <sheetData>
    <row r="1" spans="1:4" ht="18" x14ac:dyDescent="0.4">
      <c r="A1" s="94" t="s">
        <v>59</v>
      </c>
    </row>
    <row r="2" spans="1:4" ht="18" x14ac:dyDescent="0.4">
      <c r="A2" s="94" t="s">
        <v>156</v>
      </c>
    </row>
    <row r="3" spans="1:4" x14ac:dyDescent="0.3">
      <c r="A3" s="60" t="s">
        <v>157</v>
      </c>
    </row>
    <row r="4" spans="1:4" ht="18" customHeight="1" x14ac:dyDescent="0.3">
      <c r="A4" s="62"/>
      <c r="B4" s="61"/>
      <c r="C4" s="1"/>
      <c r="D4" s="1"/>
    </row>
    <row r="5" spans="1:4" ht="18" customHeight="1" x14ac:dyDescent="0.3">
      <c r="A5" s="63" t="s">
        <v>60</v>
      </c>
      <c r="B5" s="61"/>
      <c r="C5" s="1"/>
      <c r="D5" s="1"/>
    </row>
    <row r="6" spans="1:4" ht="18" customHeight="1" x14ac:dyDescent="0.3">
      <c r="A6" s="64"/>
      <c r="B6" s="63"/>
      <c r="C6" s="1"/>
      <c r="D6" s="1"/>
    </row>
    <row r="7" spans="1:4" ht="24" customHeight="1" x14ac:dyDescent="0.3">
      <c r="A7" s="162" t="s">
        <v>159</v>
      </c>
      <c r="B7" s="187"/>
      <c r="C7" s="1"/>
      <c r="D7" s="1"/>
    </row>
    <row r="8" spans="1:4" ht="24" customHeight="1" x14ac:dyDescent="0.3">
      <c r="A8" s="164" t="s">
        <v>61</v>
      </c>
      <c r="B8" s="187"/>
      <c r="C8" s="1"/>
      <c r="D8" s="1"/>
    </row>
    <row r="9" spans="1:4" ht="24" customHeight="1" x14ac:dyDescent="0.3">
      <c r="A9" s="164" t="s">
        <v>62</v>
      </c>
      <c r="B9" s="187"/>
      <c r="C9" s="65"/>
      <c r="D9" s="1"/>
    </row>
    <row r="10" spans="1:4" ht="24" customHeight="1" x14ac:dyDescent="0.3">
      <c r="A10" s="164" t="s">
        <v>102</v>
      </c>
      <c r="B10" s="187" t="s">
        <v>144</v>
      </c>
      <c r="C10" s="65"/>
      <c r="D10" s="1"/>
    </row>
    <row r="11" spans="1:4" ht="24" customHeight="1" x14ac:dyDescent="0.3">
      <c r="A11" s="164" t="s">
        <v>84</v>
      </c>
      <c r="B11" s="187"/>
      <c r="C11" s="1"/>
      <c r="D11" s="1"/>
    </row>
    <row r="12" spans="1:4" ht="24" customHeight="1" x14ac:dyDescent="0.3">
      <c r="A12" s="165" t="s">
        <v>63</v>
      </c>
      <c r="B12" s="187"/>
      <c r="C12" s="1"/>
      <c r="D12" s="1"/>
    </row>
    <row r="13" spans="1:4" ht="24" customHeight="1" x14ac:dyDescent="0.3">
      <c r="A13" s="166" t="s">
        <v>64</v>
      </c>
      <c r="B13" s="163"/>
      <c r="C13" s="1"/>
      <c r="D13" s="1"/>
    </row>
    <row r="14" spans="1:4" ht="24" customHeight="1" x14ac:dyDescent="0.3">
      <c r="A14" s="167" t="s">
        <v>65</v>
      </c>
      <c r="B14" s="168"/>
      <c r="C14" s="1"/>
      <c r="D14" s="1"/>
    </row>
    <row r="15" spans="1:4" ht="24" customHeight="1" x14ac:dyDescent="0.3">
      <c r="A15" s="169" t="s">
        <v>66</v>
      </c>
      <c r="B15" s="170"/>
      <c r="C15" s="65"/>
      <c r="D15" s="1"/>
    </row>
    <row r="16" spans="1:4" ht="24" customHeight="1" x14ac:dyDescent="0.3">
      <c r="A16" s="169" t="s">
        <v>67</v>
      </c>
      <c r="B16" s="170"/>
      <c r="C16" s="65"/>
      <c r="D16" s="1"/>
    </row>
    <row r="17" spans="1:4" ht="24" customHeight="1" x14ac:dyDescent="0.3">
      <c r="A17" s="169" t="s">
        <v>68</v>
      </c>
      <c r="B17" s="170"/>
      <c r="C17" s="65"/>
      <c r="D17" s="1"/>
    </row>
    <row r="18" spans="1:4" ht="24" customHeight="1" x14ac:dyDescent="0.3">
      <c r="A18" s="169" t="s">
        <v>69</v>
      </c>
      <c r="B18" s="171"/>
      <c r="C18" s="65"/>
      <c r="D18" s="1"/>
    </row>
    <row r="19" spans="1:4" ht="24" customHeight="1" x14ac:dyDescent="0.3">
      <c r="A19" s="169" t="s">
        <v>70</v>
      </c>
      <c r="B19" s="172"/>
      <c r="C19" s="1"/>
      <c r="D19" s="1"/>
    </row>
    <row r="20" spans="1:4" ht="24" customHeight="1" x14ac:dyDescent="0.3">
      <c r="A20" s="169" t="s">
        <v>71</v>
      </c>
      <c r="B20" s="170"/>
      <c r="C20" s="1"/>
      <c r="D20" s="1"/>
    </row>
    <row r="21" spans="1:4" ht="24" customHeight="1" x14ac:dyDescent="0.3">
      <c r="A21" s="169" t="s">
        <v>72</v>
      </c>
      <c r="B21" s="170"/>
      <c r="C21" s="1"/>
      <c r="D21" s="1"/>
    </row>
    <row r="22" spans="1:4" ht="24" customHeight="1" x14ac:dyDescent="0.3">
      <c r="A22" s="169" t="s">
        <v>73</v>
      </c>
      <c r="B22" s="170"/>
      <c r="C22" s="1"/>
      <c r="D22" s="1"/>
    </row>
    <row r="23" spans="1:4" ht="24" customHeight="1" x14ac:dyDescent="0.3">
      <c r="A23" s="173" t="s">
        <v>0</v>
      </c>
      <c r="B23" s="174"/>
    </row>
    <row r="24" spans="1:4" ht="24" customHeight="1" x14ac:dyDescent="0.3">
      <c r="A24" s="167" t="s">
        <v>1</v>
      </c>
      <c r="B24" s="175"/>
    </row>
    <row r="25" spans="1:4" ht="24" customHeight="1" x14ac:dyDescent="0.3">
      <c r="A25" s="169" t="s">
        <v>2</v>
      </c>
      <c r="B25" s="176"/>
    </row>
    <row r="26" spans="1:4" ht="24" customHeight="1" x14ac:dyDescent="0.3">
      <c r="A26" s="169" t="s">
        <v>3</v>
      </c>
      <c r="B26" s="176"/>
    </row>
    <row r="27" spans="1:4" ht="30.75" customHeight="1" x14ac:dyDescent="0.3">
      <c r="A27" s="173" t="s">
        <v>118</v>
      </c>
      <c r="B27" s="176"/>
    </row>
    <row r="28" spans="1:4" x14ac:dyDescent="0.3">
      <c r="A28" s="177" t="s">
        <v>145</v>
      </c>
      <c r="B28" s="175"/>
    </row>
    <row r="29" spans="1:4" x14ac:dyDescent="0.3">
      <c r="A29" s="164" t="s">
        <v>120</v>
      </c>
      <c r="B29" s="180">
        <f>TFCA_Cost_40_Percent</f>
        <v>0</v>
      </c>
    </row>
    <row r="30" spans="1:4" x14ac:dyDescent="0.3">
      <c r="A30" s="164" t="s">
        <v>122</v>
      </c>
      <c r="B30" s="180">
        <f>Total_Project_Cost</f>
        <v>0</v>
      </c>
    </row>
    <row r="31" spans="1:4" x14ac:dyDescent="0.3">
      <c r="A31" s="164" t="s">
        <v>123</v>
      </c>
      <c r="B31" s="182">
        <f>Yrs_Effectiveness</f>
        <v>0</v>
      </c>
    </row>
    <row r="32" spans="1:4" x14ac:dyDescent="0.3">
      <c r="A32" s="164" t="s">
        <v>125</v>
      </c>
      <c r="B32" s="181">
        <f>Annual_ROG_Emissions</f>
        <v>0</v>
      </c>
    </row>
    <row r="33" spans="1:2" x14ac:dyDescent="0.3">
      <c r="A33" s="164" t="s">
        <v>127</v>
      </c>
      <c r="B33" s="181">
        <f>Annual_NOx_Emissions</f>
        <v>0</v>
      </c>
    </row>
    <row r="34" spans="1:2" x14ac:dyDescent="0.3">
      <c r="A34" s="164" t="s">
        <v>129</v>
      </c>
      <c r="B34" s="181">
        <f>Annual_PM_Emissions</f>
        <v>0</v>
      </c>
    </row>
    <row r="35" spans="1:2" x14ac:dyDescent="0.3">
      <c r="A35" s="164" t="s">
        <v>131</v>
      </c>
      <c r="B35" s="181">
        <f>Annual_CO2_Emissions</f>
        <v>0</v>
      </c>
    </row>
    <row r="36" spans="1:2" x14ac:dyDescent="0.3">
      <c r="A36" s="164" t="s">
        <v>133</v>
      </c>
      <c r="B36" s="180" t="e">
        <f>TFCA_Cost_Effectiveness</f>
        <v>#DIV/0!</v>
      </c>
    </row>
    <row r="37" spans="1:2" x14ac:dyDescent="0.3">
      <c r="A37" s="164" t="s">
        <v>135</v>
      </c>
      <c r="B37" s="180" t="e">
        <f>TFCA_Weighted_Cost_Effectiveness</f>
        <v>#DIV/0!</v>
      </c>
    </row>
    <row r="38" spans="1:2" x14ac:dyDescent="0.3">
      <c r="A38" s="178" t="s">
        <v>163</v>
      </c>
      <c r="B38" s="186"/>
    </row>
    <row r="39" spans="1:2" x14ac:dyDescent="0.3">
      <c r="A39" s="178" t="s">
        <v>165</v>
      </c>
      <c r="B39" s="186"/>
    </row>
    <row r="40" spans="1:2" ht="17" customHeight="1" x14ac:dyDescent="0.3">
      <c r="A40" s="178" t="s">
        <v>164</v>
      </c>
      <c r="B40" s="186"/>
    </row>
    <row r="41" spans="1:2" ht="37.5" x14ac:dyDescent="0.3">
      <c r="A41" s="179" t="s">
        <v>141</v>
      </c>
      <c r="B41" s="186"/>
    </row>
    <row r="42" spans="1:2" x14ac:dyDescent="0.3">
      <c r="A42" s="158"/>
      <c r="B42" s="161"/>
    </row>
    <row r="43" spans="1:2" x14ac:dyDescent="0.3">
      <c r="A43" s="158" t="s">
        <v>146</v>
      </c>
      <c r="B43" s="161"/>
    </row>
  </sheetData>
  <protectedRanges>
    <protectedRange sqref="B11:B26" name="Range1"/>
  </protectedRanges>
  <phoneticPr fontId="18" type="noConversion"/>
  <pageMargins left="0.75" right="0.75" top="1" bottom="1" header="0.5" footer="0.5"/>
  <pageSetup orientation="portrait" r:id="rId1"/>
  <headerFooter alignWithMargins="0"/>
  <customProperties>
    <customPr name="ff53a6af9"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795"/>
  <sheetViews>
    <sheetView zoomScale="70" zoomScaleNormal="70" workbookViewId="0">
      <selection activeCell="D4" sqref="D4"/>
    </sheetView>
  </sheetViews>
  <sheetFormatPr defaultColWidth="8.54296875" defaultRowHeight="13" x14ac:dyDescent="0.3"/>
  <cols>
    <col min="1" max="1" width="81.7265625" bestFit="1" customWidth="1"/>
    <col min="2" max="2" width="11" customWidth="1"/>
    <col min="3" max="3" width="13.1796875" customWidth="1"/>
    <col min="4" max="4" width="35.7265625" bestFit="1" customWidth="1"/>
    <col min="5" max="5" width="18.54296875" customWidth="1"/>
    <col min="6" max="6" width="16" customWidth="1"/>
    <col min="7" max="7" width="14.26953125" customWidth="1"/>
    <col min="8" max="8" width="11.54296875" customWidth="1"/>
    <col min="9" max="9" width="13" customWidth="1"/>
    <col min="10" max="10" width="15" customWidth="1"/>
    <col min="11" max="11" width="16.1796875" customWidth="1"/>
    <col min="12" max="12" width="15" customWidth="1"/>
    <col min="13" max="13" width="14.1796875" customWidth="1"/>
    <col min="14" max="14" width="13.453125" customWidth="1"/>
    <col min="15" max="15" width="14.453125" customWidth="1"/>
    <col min="16" max="16" width="14.1796875" customWidth="1"/>
    <col min="17" max="17" width="12.1796875" customWidth="1"/>
    <col min="18" max="18" width="14.453125" customWidth="1"/>
    <col min="19" max="19" width="13.26953125" customWidth="1"/>
    <col min="20" max="21" width="13.81640625" customWidth="1"/>
    <col min="22" max="22" width="13.54296875" customWidth="1"/>
    <col min="23" max="23" width="13" customWidth="1"/>
    <col min="24" max="24" width="8.54296875" customWidth="1"/>
    <col min="25" max="25" width="9.81640625" customWidth="1"/>
    <col min="26" max="27" width="8.54296875" customWidth="1"/>
    <col min="28" max="28" width="9.81640625" customWidth="1"/>
  </cols>
  <sheetData>
    <row r="1" spans="1:36" s="140" customFormat="1" ht="20.5" x14ac:dyDescent="0.45">
      <c r="A1" s="94" t="s">
        <v>59</v>
      </c>
    </row>
    <row r="2" spans="1:36" s="140" customFormat="1" ht="20.5" x14ac:dyDescent="0.45">
      <c r="A2" s="94" t="s">
        <v>156</v>
      </c>
    </row>
    <row r="3" spans="1:36" x14ac:dyDescent="0.3">
      <c r="A3" s="60" t="s">
        <v>157</v>
      </c>
    </row>
    <row r="4" spans="1:36" x14ac:dyDescent="0.3">
      <c r="A4" s="60"/>
      <c r="B4" s="22"/>
      <c r="C4" s="22"/>
      <c r="D4" s="22"/>
      <c r="E4" s="22"/>
      <c r="F4" s="22"/>
      <c r="G4" s="22"/>
      <c r="H4" s="22"/>
      <c r="I4" s="22"/>
      <c r="J4" s="22"/>
      <c r="K4" s="22"/>
      <c r="L4" s="22"/>
      <c r="M4" s="1"/>
    </row>
    <row r="5" spans="1:36" s="132" customFormat="1" ht="15.5" x14ac:dyDescent="0.35">
      <c r="A5" s="129" t="s">
        <v>91</v>
      </c>
      <c r="B5" s="130"/>
      <c r="C5" s="130"/>
      <c r="D5" s="130"/>
      <c r="E5" s="130"/>
      <c r="F5" s="130"/>
      <c r="G5" s="130"/>
      <c r="H5" s="130"/>
      <c r="I5" s="130"/>
      <c r="J5" s="130"/>
      <c r="K5" s="130"/>
      <c r="L5" s="130"/>
      <c r="M5" s="131"/>
    </row>
    <row r="6" spans="1:36" s="132" customFormat="1" ht="15" customHeight="1" thickBot="1" x14ac:dyDescent="0.4">
      <c r="A6" s="23"/>
      <c r="B6" s="130"/>
      <c r="C6" s="130"/>
      <c r="D6" s="130"/>
      <c r="E6" s="130"/>
      <c r="F6" s="130"/>
      <c r="G6" s="130"/>
      <c r="H6" s="130"/>
      <c r="I6" s="130"/>
      <c r="J6" s="130"/>
      <c r="K6" s="25"/>
      <c r="L6" s="25"/>
    </row>
    <row r="7" spans="1:36" s="2" customFormat="1" ht="15.5" x14ac:dyDescent="0.35">
      <c r="A7" s="79" t="s">
        <v>4</v>
      </c>
      <c r="B7" s="80"/>
      <c r="C7" s="81"/>
      <c r="D7" s="53"/>
      <c r="E7" s="52"/>
      <c r="F7" s="24"/>
      <c r="G7" s="53"/>
      <c r="H7" s="25"/>
      <c r="L7" s="25"/>
    </row>
    <row r="8" spans="1:36" s="2" customFormat="1" ht="15.5" x14ac:dyDescent="0.35">
      <c r="A8" s="26" t="s">
        <v>9</v>
      </c>
      <c r="B8" s="25"/>
      <c r="C8" s="91"/>
      <c r="D8" s="54"/>
      <c r="E8" s="52"/>
      <c r="F8" s="24"/>
      <c r="G8" s="53"/>
      <c r="H8" s="25"/>
      <c r="L8" s="25"/>
    </row>
    <row r="9" spans="1:36" s="2" customFormat="1" ht="15.5" x14ac:dyDescent="0.35">
      <c r="A9" s="26" t="s">
        <v>10</v>
      </c>
      <c r="B9" s="25"/>
      <c r="C9" s="92"/>
      <c r="D9" s="54"/>
      <c r="E9" s="24"/>
      <c r="F9" s="25"/>
      <c r="G9" s="53"/>
      <c r="H9" s="25"/>
      <c r="L9" s="25"/>
    </row>
    <row r="10" spans="1:36" s="2" customFormat="1" ht="16" thickBot="1" x14ac:dyDescent="0.4">
      <c r="A10" s="26" t="s">
        <v>11</v>
      </c>
      <c r="B10" s="25"/>
      <c r="C10" s="92"/>
      <c r="D10" s="54"/>
      <c r="E10" s="24"/>
      <c r="F10" s="25"/>
      <c r="G10" s="53"/>
      <c r="H10" s="25"/>
      <c r="L10" s="25"/>
    </row>
    <row r="11" spans="1:36" s="2" customFormat="1" ht="16" thickBot="1" x14ac:dyDescent="0.4">
      <c r="A11" s="26" t="s">
        <v>12</v>
      </c>
      <c r="B11" s="25"/>
      <c r="C11" s="114" t="s">
        <v>90</v>
      </c>
      <c r="D11" s="103"/>
      <c r="E11" s="104" t="s">
        <v>85</v>
      </c>
      <c r="F11" s="133" t="s">
        <v>90</v>
      </c>
      <c r="H11" s="102"/>
      <c r="I11" s="102"/>
      <c r="K11" s="25"/>
    </row>
    <row r="12" spans="1:36" s="2" customFormat="1" ht="16.5" thickTop="1" thickBot="1" x14ac:dyDescent="0.4">
      <c r="A12" s="27" t="s">
        <v>13</v>
      </c>
      <c r="B12" s="134"/>
      <c r="C12" s="93">
        <f>TFCA_Cost_40_Percent</f>
        <v>0</v>
      </c>
      <c r="D12" s="25"/>
      <c r="E12" s="25"/>
      <c r="F12" s="25"/>
      <c r="G12" s="25"/>
      <c r="H12" s="25"/>
      <c r="I12" s="25"/>
      <c r="J12" s="25"/>
      <c r="K12" s="25"/>
      <c r="L12" s="25"/>
    </row>
    <row r="13" spans="1:36" s="2" customFormat="1" ht="16" thickBot="1" x14ac:dyDescent="0.4">
      <c r="A13" s="25"/>
      <c r="B13" s="25"/>
      <c r="C13" s="25"/>
      <c r="D13" s="25"/>
      <c r="E13" s="25"/>
      <c r="F13" s="25"/>
      <c r="G13" s="24"/>
      <c r="H13" s="24"/>
      <c r="I13" s="28"/>
      <c r="J13" s="25"/>
      <c r="K13" s="24"/>
      <c r="L13" s="25"/>
    </row>
    <row r="14" spans="1:36" s="5" customFormat="1" ht="15.5" x14ac:dyDescent="0.35">
      <c r="A14" s="82" t="s">
        <v>14</v>
      </c>
      <c r="B14" s="83"/>
      <c r="C14" s="83"/>
      <c r="D14" s="83"/>
      <c r="E14" s="83"/>
      <c r="F14" s="84"/>
      <c r="G14" s="83"/>
      <c r="H14" s="85"/>
      <c r="I14" s="85"/>
      <c r="J14" s="85"/>
      <c r="K14" s="85"/>
      <c r="L14" s="86"/>
      <c r="M14" s="3"/>
      <c r="N14" s="3"/>
      <c r="O14" s="3"/>
      <c r="P14" s="3"/>
      <c r="Q14" s="2"/>
      <c r="R14" s="2"/>
      <c r="S14" s="2"/>
      <c r="T14" s="2"/>
      <c r="U14" s="2"/>
      <c r="V14" s="4"/>
      <c r="Z14" s="6"/>
      <c r="AA14" s="6"/>
      <c r="AB14" s="2"/>
    </row>
    <row r="15" spans="1:36" s="2" customFormat="1" ht="15.5" x14ac:dyDescent="0.35">
      <c r="A15" s="29" t="s">
        <v>15</v>
      </c>
      <c r="B15" s="30" t="s">
        <v>16</v>
      </c>
      <c r="C15" s="30" t="s">
        <v>17</v>
      </c>
      <c r="D15" s="30" t="s">
        <v>18</v>
      </c>
      <c r="E15" s="30" t="s">
        <v>19</v>
      </c>
      <c r="F15" s="30" t="s">
        <v>20</v>
      </c>
      <c r="G15" s="30" t="s">
        <v>21</v>
      </c>
      <c r="H15" s="30" t="s">
        <v>22</v>
      </c>
      <c r="I15" s="30" t="s">
        <v>23</v>
      </c>
      <c r="J15" s="30" t="s">
        <v>24</v>
      </c>
      <c r="K15" s="31" t="s">
        <v>25</v>
      </c>
      <c r="L15" s="32" t="s">
        <v>55</v>
      </c>
      <c r="M15" s="132"/>
      <c r="N15" s="11"/>
    </row>
    <row r="16" spans="1:36" s="2" customFormat="1" ht="64.75" customHeight="1" x14ac:dyDescent="0.35">
      <c r="A16" s="33" t="s">
        <v>83</v>
      </c>
      <c r="B16" s="34" t="s">
        <v>26</v>
      </c>
      <c r="C16" s="34" t="s">
        <v>27</v>
      </c>
      <c r="D16" s="34" t="s">
        <v>28</v>
      </c>
      <c r="E16" s="34" t="s">
        <v>81</v>
      </c>
      <c r="F16" s="34" t="s">
        <v>29</v>
      </c>
      <c r="G16" s="34" t="s">
        <v>30</v>
      </c>
      <c r="H16" s="34" t="s">
        <v>31</v>
      </c>
      <c r="I16" s="34" t="s">
        <v>32</v>
      </c>
      <c r="J16" s="34" t="s">
        <v>33</v>
      </c>
      <c r="K16" s="35" t="s">
        <v>56</v>
      </c>
      <c r="L16" s="36" t="s">
        <v>34</v>
      </c>
      <c r="M16" s="10" t="s">
        <v>6</v>
      </c>
      <c r="N16" s="10" t="s">
        <v>45</v>
      </c>
      <c r="O16" s="10" t="s">
        <v>52</v>
      </c>
      <c r="P16" s="10" t="s">
        <v>46</v>
      </c>
      <c r="Q16" s="10" t="s">
        <v>47</v>
      </c>
      <c r="R16" s="10" t="s">
        <v>48</v>
      </c>
      <c r="S16" s="10" t="s">
        <v>49</v>
      </c>
      <c r="T16" s="10" t="s">
        <v>53</v>
      </c>
      <c r="U16" s="10" t="s">
        <v>54</v>
      </c>
      <c r="V16" s="108" t="s">
        <v>50</v>
      </c>
      <c r="W16" s="108" t="s">
        <v>51</v>
      </c>
      <c r="X16" s="132"/>
      <c r="Y16" s="10"/>
      <c r="Z16" s="10"/>
      <c r="AA16" s="10"/>
      <c r="AB16" s="10"/>
      <c r="AC16" s="10"/>
      <c r="AD16" s="10"/>
      <c r="AE16" s="10"/>
      <c r="AF16" s="10"/>
      <c r="AG16" s="10"/>
      <c r="AH16" s="10"/>
      <c r="AI16" s="10"/>
      <c r="AJ16" s="10"/>
    </row>
    <row r="17" spans="1:34" s="2" customFormat="1" ht="24" customHeight="1" x14ac:dyDescent="0.35">
      <c r="A17" s="67" t="s">
        <v>82</v>
      </c>
      <c r="B17" s="68">
        <v>4.5</v>
      </c>
      <c r="C17" s="68">
        <v>250</v>
      </c>
      <c r="D17" s="68" t="s">
        <v>7</v>
      </c>
      <c r="E17" s="69">
        <v>7000</v>
      </c>
      <c r="F17" s="68">
        <v>21.5</v>
      </c>
      <c r="G17" s="96">
        <v>25</v>
      </c>
      <c r="H17" s="70">
        <f>G17/F17-1</f>
        <v>0.16279069767441867</v>
      </c>
      <c r="I17" s="71">
        <f>(B17*C17*E17*(P17-Q17))/454</f>
        <v>51.603799559471398</v>
      </c>
      <c r="J17" s="71">
        <f>(B17*C17*E17*(R17- S17))/454</f>
        <v>258.88628854625591</v>
      </c>
      <c r="K17" s="71">
        <f>(B17*C17*E17*(T17-U17)/454)</f>
        <v>5.1874576646694672</v>
      </c>
      <c r="L17" s="72">
        <f>(B17*C17*E17*(V17- W17))/454</f>
        <v>296782.40032483055</v>
      </c>
      <c r="M17" s="12">
        <f>(F17+G17)/2</f>
        <v>23.25</v>
      </c>
      <c r="N17" s="12">
        <f>F17-(INT(F17))</f>
        <v>0.5</v>
      </c>
      <c r="O17" s="12">
        <f>M17-(INT(M17))</f>
        <v>0.25</v>
      </c>
      <c r="P17" s="14">
        <f>VLOOKUP(ROUNDDOWN($F17,0),'Emission Factors'!$A$9:$E$69,2)-((VLOOKUP(ROUNDDOWN($F17,0),'Emission Factors'!$A$9:$E$69,2))-(VLOOKUP(ROUNDUP($F17,0),'Emission Factors'!$A$9:$E$69,2)))*$N17</f>
        <v>3.1600000000000003E-2</v>
      </c>
      <c r="Q17" s="14">
        <f>VLOOKUP(ROUNDDOWN($M17,0),'Emission Factors'!$A$9:$E$69,2)-((VLOOKUP(ROUNDDOWN($M17,0),'Emission Factors'!$A$9:$E$69,2))-(VLOOKUP(ROUNDUP($M17,0),'Emission Factors'!$A$9:$E$69,2)))*$O17</f>
        <v>2.8625000000000001E-2</v>
      </c>
      <c r="R17" s="14">
        <f>VLOOKUP(ROUNDDOWN($F17,0),'Emission Factors'!$A$9:$E$69,3)-((VLOOKUP(ROUNDDOWN($F17,0),'Emission Factors'!$A$9:$E$69,3))-(VLOOKUP(ROUNDUP($F17,0),'Emission Factors'!$A$9:$E$69,3)))*$N17</f>
        <v>0.22970000000000002</v>
      </c>
      <c r="S17" s="14">
        <f>VLOOKUP(ROUNDDOWN($M17,0),'Emission Factors'!$A$9:$E$69,3)-((VLOOKUP(ROUNDDOWN($M17,0),'Emission Factors'!$A$9:$E$69,3))-(VLOOKUP(ROUNDUP($M17,0),'Emission Factors'!$A$9:$E$69,3)))*$O17</f>
        <v>0.21477499999999999</v>
      </c>
      <c r="T17" s="14">
        <f>VLOOKUP(ROUNDDOWN($F17,0),'Emission Factors'!$A$9:$E$69,4)-((VLOOKUP(ROUNDDOWN($F17,0),'Emission Factors'!$A$9:$E$69,4))-(VLOOKUP(ROUNDUP($F17,0),'Emission Factors'!$A$9:$E$69,4)))*$N17</f>
        <v>3.3168589336878759E-3</v>
      </c>
      <c r="U17" s="14">
        <f>VLOOKUP(ROUNDDOWN($M17,0),'Emission Factors'!$A$9:$E$69,4)-((VLOOKUP(ROUNDDOWN($M17,0),'Emission Factors'!$A$9:$E$69,4))-(VLOOKUP(ROUNDUP($M17,0),'Emission Factors'!$A$9:$E$69,4)))*$O17</f>
        <v>3.0177978822897886E-3</v>
      </c>
      <c r="V17" s="109">
        <f>VLOOKUP(ROUNDDOWN($F17,0),'Emission Factors'!$A$9:$E$69,5)-((VLOOKUP(ROUNDDOWN($F17,0),'Emission Factors'!$A$9:$E$69,5))-(VLOOKUP(ROUNDUP($F17,0),'Emission Factors'!$A$9:$E$69,5)))*$N17</f>
        <v>327.96696561270801</v>
      </c>
      <c r="W17" s="109">
        <f>VLOOKUP(ROUNDDOWN($M17,0),'Emission Factors'!$A$9:$E$69,5)-((VLOOKUP(ROUNDDOWN($M17,0),'Emission Factors'!$A$9:$E$69,5))-(VLOOKUP(ROUNDUP($M17,0),'Emission Factors'!$A$9:$E$69,5)))*$O17</f>
        <v>310.85722469239397</v>
      </c>
      <c r="X17" s="132"/>
      <c r="AA17" s="13"/>
      <c r="AD17" s="13"/>
      <c r="AE17" s="12"/>
      <c r="AF17" s="12"/>
      <c r="AH17" s="13"/>
    </row>
    <row r="18" spans="1:34" s="2" customFormat="1" ht="21" customHeight="1" x14ac:dyDescent="0.35">
      <c r="A18" s="73"/>
      <c r="B18" s="74"/>
      <c r="C18" s="74"/>
      <c r="D18" s="74"/>
      <c r="E18" s="75"/>
      <c r="F18" s="110">
        <v>5</v>
      </c>
      <c r="G18" s="110">
        <v>5</v>
      </c>
      <c r="H18" s="76">
        <f>G18/F18-1</f>
        <v>0</v>
      </c>
      <c r="I18" s="77">
        <f>(B18*C18*E18*(P18-Q18))/454</f>
        <v>0</v>
      </c>
      <c r="J18" s="77">
        <f>(B18*C18*E18*(R18- S18))/454</f>
        <v>0</v>
      </c>
      <c r="K18" s="77">
        <f>(B18*C18*E18*(T18-U18)/454)</f>
        <v>0</v>
      </c>
      <c r="L18" s="112">
        <f>(B18*C18*E18*(V18- W18))/454</f>
        <v>0</v>
      </c>
      <c r="M18" s="12">
        <f>(F18+G18)/2</f>
        <v>5</v>
      </c>
      <c r="N18" s="12">
        <f>F18-(INT(F18))</f>
        <v>0</v>
      </c>
      <c r="O18" s="12">
        <f>M18-(INT(M18))</f>
        <v>0</v>
      </c>
      <c r="P18" s="14">
        <f>VLOOKUP(ROUNDDOWN($F18,0),'Emission Factors'!$A$9:$E$69,2)-((VLOOKUP(ROUNDDOWN($F18,0),'Emission Factors'!$A$9:$E$69,2))-(VLOOKUP(ROUNDUP($F18,0),'Emission Factors'!$A$9:$E$69,2)))*$N18</f>
        <v>0.11119999999999999</v>
      </c>
      <c r="Q18" s="14">
        <f>VLOOKUP(ROUNDDOWN($M18,0),'Emission Factors'!$A$9:$E$69,2)-((VLOOKUP(ROUNDDOWN($M18,0),'Emission Factors'!$A$9:$E$69,2))-(VLOOKUP(ROUNDUP($M18,0),'Emission Factors'!$A$9:$E$69,2)))*$O18</f>
        <v>0.11119999999999999</v>
      </c>
      <c r="R18" s="14">
        <f>VLOOKUP(ROUNDDOWN($F18,0),'Emission Factors'!$A$9:$E$69,3)-((VLOOKUP(ROUNDDOWN($F18,0),'Emission Factors'!$A$9:$E$69,3))-(VLOOKUP(ROUNDUP($F18,0),'Emission Factors'!$A$9:$E$69,3)))*$N18</f>
        <v>0.56020000000000003</v>
      </c>
      <c r="S18" s="14">
        <f>VLOOKUP(ROUNDDOWN($M18,0),'Emission Factors'!$A$9:$E$69,3)-((VLOOKUP(ROUNDDOWN($M18,0),'Emission Factors'!$A$9:$E$69,3))-(VLOOKUP(ROUNDUP($M18,0),'Emission Factors'!$A$9:$E$69,3)))*$O18</f>
        <v>0.56020000000000003</v>
      </c>
      <c r="T18" s="14">
        <f>VLOOKUP(ROUNDDOWN($F18,0),'Emission Factors'!$A$9:$E$69,4)-((VLOOKUP(ROUNDDOWN($F18,0),'Emission Factors'!$A$9:$E$69,4))-(VLOOKUP(ROUNDUP($F18,0),'Emission Factors'!$A$9:$E$69,4)))*$N18</f>
        <v>1.0439949430624132E-2</v>
      </c>
      <c r="U18" s="14">
        <f>VLOOKUP(ROUNDDOWN($M18,0),'Emission Factors'!$A$9:$E$69,4)-((VLOOKUP(ROUNDDOWN($M18,0),'Emission Factors'!$A$9:$E$69,4))-(VLOOKUP(ROUNDUP($M18,0),'Emission Factors'!$A$9:$E$69,4)))*$O18</f>
        <v>1.0439949430624132E-2</v>
      </c>
      <c r="V18" s="109">
        <f>VLOOKUP(ROUNDDOWN($F18,0),'Emission Factors'!$A$9:$E$69,5)-((VLOOKUP(ROUNDDOWN($F18,0),'Emission Factors'!$A$9:$E$69,5))-(VLOOKUP(ROUNDUP($F18,0),'Emission Factors'!$A$9:$E$69,5)))*$N18</f>
        <v>621.67639807025</v>
      </c>
      <c r="W18" s="109">
        <f>VLOOKUP(ROUNDDOWN($M18,0),'Emission Factors'!$A$9:$E$69,5)-((VLOOKUP(ROUNDDOWN($M18,0),'Emission Factors'!$A$9:$E$69,5))-(VLOOKUP(ROUNDUP($M18,0),'Emission Factors'!$A$9:$E$69,5)))*$O18</f>
        <v>621.67639807025</v>
      </c>
      <c r="X18" s="132"/>
      <c r="AA18" s="13"/>
      <c r="AD18" s="13"/>
      <c r="AE18" s="12"/>
      <c r="AF18" s="12"/>
      <c r="AH18" s="13"/>
    </row>
    <row r="19" spans="1:34" s="2" customFormat="1" ht="21" customHeight="1" x14ac:dyDescent="0.35">
      <c r="A19" s="73"/>
      <c r="B19" s="74"/>
      <c r="C19" s="74"/>
      <c r="D19" s="74"/>
      <c r="E19" s="75"/>
      <c r="F19" s="110">
        <v>5</v>
      </c>
      <c r="G19" s="110">
        <v>5</v>
      </c>
      <c r="H19" s="76">
        <f t="shared" ref="H19:H23" si="0">G19/F19-1</f>
        <v>0</v>
      </c>
      <c r="I19" s="77">
        <f t="shared" ref="I19:I23" si="1">(B19*C19*E19*(P19-Q19))/454</f>
        <v>0</v>
      </c>
      <c r="J19" s="77">
        <f t="shared" ref="J19:J23" si="2">(B19*C19*E19*(R19- S19))/454</f>
        <v>0</v>
      </c>
      <c r="K19" s="77">
        <f t="shared" ref="K19:K23" si="3">(B19*C19*E19*(T19-U19)/454)</f>
        <v>0</v>
      </c>
      <c r="L19" s="112">
        <f t="shared" ref="L19:L23" si="4">(B19*C19*E19*(V19- W19))/454</f>
        <v>0</v>
      </c>
      <c r="M19" s="12">
        <f t="shared" ref="M19:M23" si="5">(F19+G19)/2</f>
        <v>5</v>
      </c>
      <c r="N19" s="12">
        <f t="shared" ref="N19:N23" si="6">F19-(INT(F19))</f>
        <v>0</v>
      </c>
      <c r="O19" s="12">
        <f t="shared" ref="O19:O23" si="7">M19-(INT(M19))</f>
        <v>0</v>
      </c>
      <c r="P19" s="14">
        <f>VLOOKUP(ROUNDDOWN($F19,0),'Emission Factors'!$A$9:$E$69,2)-((VLOOKUP(ROUNDDOWN($F19,0),'Emission Factors'!$A$9:$E$69,2))-(VLOOKUP(ROUNDUP($F19,0),'Emission Factors'!$A$9:$E$69,2)))*$N19</f>
        <v>0.11119999999999999</v>
      </c>
      <c r="Q19" s="14">
        <f>VLOOKUP(ROUNDDOWN($M19,0),'Emission Factors'!$A$9:$E$69,2)-((VLOOKUP(ROUNDDOWN($M19,0),'Emission Factors'!$A$9:$E$69,2))-(VLOOKUP(ROUNDUP($M19,0),'Emission Factors'!$A$9:$E$69,2)))*$O19</f>
        <v>0.11119999999999999</v>
      </c>
      <c r="R19" s="14">
        <f>VLOOKUP(ROUNDDOWN($F19,0),'Emission Factors'!$A$9:$E$69,3)-((VLOOKUP(ROUNDDOWN($F19,0),'Emission Factors'!$A$9:$E$69,3))-(VLOOKUP(ROUNDUP($F19,0),'Emission Factors'!$A$9:$E$69,3)))*$N19</f>
        <v>0.56020000000000003</v>
      </c>
      <c r="S19" s="14">
        <f>VLOOKUP(ROUNDDOWN($M19,0),'Emission Factors'!$A$9:$E$69,3)-((VLOOKUP(ROUNDDOWN($M19,0),'Emission Factors'!$A$9:$E$69,3))-(VLOOKUP(ROUNDUP($M19,0),'Emission Factors'!$A$9:$E$69,3)))*$O19</f>
        <v>0.56020000000000003</v>
      </c>
      <c r="T19" s="14">
        <f>VLOOKUP(ROUNDDOWN($F19,0),'Emission Factors'!$A$9:$E$69,4)-((VLOOKUP(ROUNDDOWN($F19,0),'Emission Factors'!$A$9:$E$69,4))-(VLOOKUP(ROUNDUP($F19,0),'Emission Factors'!$A$9:$E$69,4)))*$N19</f>
        <v>1.0439949430624132E-2</v>
      </c>
      <c r="U19" s="14">
        <f>VLOOKUP(ROUNDDOWN($M19,0),'Emission Factors'!$A$9:$E$69,4)-((VLOOKUP(ROUNDDOWN($M19,0),'Emission Factors'!$A$9:$E$69,4))-(VLOOKUP(ROUNDUP($M19,0),'Emission Factors'!$A$9:$E$69,4)))*$O19</f>
        <v>1.0439949430624132E-2</v>
      </c>
      <c r="V19" s="109">
        <f>VLOOKUP(ROUNDDOWN($F19,0),'Emission Factors'!$A$9:$E$69,5)-((VLOOKUP(ROUNDDOWN($F19,0),'Emission Factors'!$A$9:$E$69,5))-(VLOOKUP(ROUNDUP($F19,0),'Emission Factors'!$A$9:$E$69,5)))*$N19</f>
        <v>621.67639807025</v>
      </c>
      <c r="W19" s="109">
        <f>VLOOKUP(ROUNDDOWN($M19,0),'Emission Factors'!$A$9:$E$69,5)-((VLOOKUP(ROUNDDOWN($M19,0),'Emission Factors'!$A$9:$E$69,5))-(VLOOKUP(ROUNDUP($M19,0),'Emission Factors'!$A$9:$E$69,5)))*$O19</f>
        <v>621.67639807025</v>
      </c>
      <c r="X19" s="132"/>
      <c r="AA19" s="13"/>
      <c r="AD19" s="13"/>
      <c r="AE19" s="12"/>
      <c r="AF19" s="12"/>
      <c r="AH19" s="13"/>
    </row>
    <row r="20" spans="1:34" s="2" customFormat="1" ht="21" customHeight="1" x14ac:dyDescent="0.35">
      <c r="A20" s="73"/>
      <c r="B20" s="74"/>
      <c r="C20" s="74"/>
      <c r="D20" s="74"/>
      <c r="E20" s="75"/>
      <c r="F20" s="110">
        <v>5</v>
      </c>
      <c r="G20" s="110">
        <v>5</v>
      </c>
      <c r="H20" s="76">
        <f t="shared" si="0"/>
        <v>0</v>
      </c>
      <c r="I20" s="77">
        <f t="shared" si="1"/>
        <v>0</v>
      </c>
      <c r="J20" s="77">
        <f t="shared" si="2"/>
        <v>0</v>
      </c>
      <c r="K20" s="77">
        <f t="shared" si="3"/>
        <v>0</v>
      </c>
      <c r="L20" s="112">
        <f t="shared" si="4"/>
        <v>0</v>
      </c>
      <c r="M20" s="12">
        <f t="shared" si="5"/>
        <v>5</v>
      </c>
      <c r="N20" s="12">
        <f t="shared" si="6"/>
        <v>0</v>
      </c>
      <c r="O20" s="12">
        <f t="shared" si="7"/>
        <v>0</v>
      </c>
      <c r="P20" s="14">
        <f>VLOOKUP(ROUNDDOWN($F20,0),'Emission Factors'!$A$9:$E$69,2)-((VLOOKUP(ROUNDDOWN($F20,0),'Emission Factors'!$A$9:$E$69,2))-(VLOOKUP(ROUNDUP($F20,0),'Emission Factors'!$A$9:$E$69,2)))*$N20</f>
        <v>0.11119999999999999</v>
      </c>
      <c r="Q20" s="14">
        <f>VLOOKUP(ROUNDDOWN($M20,0),'Emission Factors'!$A$9:$E$69,2)-((VLOOKUP(ROUNDDOWN($M20,0),'Emission Factors'!$A$9:$E$69,2))-(VLOOKUP(ROUNDUP($M20,0),'Emission Factors'!$A$9:$E$69,2)))*$O20</f>
        <v>0.11119999999999999</v>
      </c>
      <c r="R20" s="14">
        <f>VLOOKUP(ROUNDDOWN($F20,0),'Emission Factors'!$A$9:$E$69,3)-((VLOOKUP(ROUNDDOWN($F20,0),'Emission Factors'!$A$9:$E$69,3))-(VLOOKUP(ROUNDUP($F20,0),'Emission Factors'!$A$9:$E$69,3)))*$N20</f>
        <v>0.56020000000000003</v>
      </c>
      <c r="S20" s="14">
        <f>VLOOKUP(ROUNDDOWN($M20,0),'Emission Factors'!$A$9:$E$69,3)-((VLOOKUP(ROUNDDOWN($M20,0),'Emission Factors'!$A$9:$E$69,3))-(VLOOKUP(ROUNDUP($M20,0),'Emission Factors'!$A$9:$E$69,3)))*$O20</f>
        <v>0.56020000000000003</v>
      </c>
      <c r="T20" s="14">
        <f>VLOOKUP(ROUNDDOWN($F20,0),'Emission Factors'!$A$9:$E$69,4)-((VLOOKUP(ROUNDDOWN($F20,0),'Emission Factors'!$A$9:$E$69,4))-(VLOOKUP(ROUNDUP($F20,0),'Emission Factors'!$A$9:$E$69,4)))*$N20</f>
        <v>1.0439949430624132E-2</v>
      </c>
      <c r="U20" s="14">
        <f>VLOOKUP(ROUNDDOWN($M20,0),'Emission Factors'!$A$9:$E$69,4)-((VLOOKUP(ROUNDDOWN($M20,0),'Emission Factors'!$A$9:$E$69,4))-(VLOOKUP(ROUNDUP($M20,0),'Emission Factors'!$A$9:$E$69,4)))*$O20</f>
        <v>1.0439949430624132E-2</v>
      </c>
      <c r="V20" s="109">
        <f>VLOOKUP(ROUNDDOWN($F20,0),'Emission Factors'!$A$9:$E$69,5)-((VLOOKUP(ROUNDDOWN($F20,0),'Emission Factors'!$A$9:$E$69,5))-(VLOOKUP(ROUNDUP($F20,0),'Emission Factors'!$A$9:$E$69,5)))*$N20</f>
        <v>621.67639807025</v>
      </c>
      <c r="W20" s="109">
        <f>VLOOKUP(ROUNDDOWN($M20,0),'Emission Factors'!$A$9:$E$69,5)-((VLOOKUP(ROUNDDOWN($M20,0),'Emission Factors'!$A$9:$E$69,5))-(VLOOKUP(ROUNDUP($M20,0),'Emission Factors'!$A$9:$E$69,5)))*$O20</f>
        <v>621.67639807025</v>
      </c>
      <c r="X20" s="132"/>
      <c r="AA20" s="13"/>
      <c r="AD20" s="13"/>
      <c r="AE20" s="12"/>
      <c r="AF20" s="12"/>
      <c r="AH20" s="13"/>
    </row>
    <row r="21" spans="1:34" s="2" customFormat="1" ht="21" customHeight="1" x14ac:dyDescent="0.35">
      <c r="A21" s="73"/>
      <c r="B21" s="74"/>
      <c r="C21" s="74"/>
      <c r="D21" s="74"/>
      <c r="E21" s="75"/>
      <c r="F21" s="110">
        <v>5</v>
      </c>
      <c r="G21" s="110">
        <v>5</v>
      </c>
      <c r="H21" s="76">
        <f t="shared" si="0"/>
        <v>0</v>
      </c>
      <c r="I21" s="77">
        <f t="shared" si="1"/>
        <v>0</v>
      </c>
      <c r="J21" s="77">
        <f t="shared" si="2"/>
        <v>0</v>
      </c>
      <c r="K21" s="77">
        <f t="shared" si="3"/>
        <v>0</v>
      </c>
      <c r="L21" s="112">
        <f t="shared" si="4"/>
        <v>0</v>
      </c>
      <c r="M21" s="12">
        <f t="shared" si="5"/>
        <v>5</v>
      </c>
      <c r="N21" s="12">
        <f t="shared" si="6"/>
        <v>0</v>
      </c>
      <c r="O21" s="12">
        <f t="shared" si="7"/>
        <v>0</v>
      </c>
      <c r="P21" s="14">
        <f>VLOOKUP(ROUNDDOWN($F21,0),'Emission Factors'!$A$9:$E$69,2)-((VLOOKUP(ROUNDDOWN($F21,0),'Emission Factors'!$A$9:$E$69,2))-(VLOOKUP(ROUNDUP($F21,0),'Emission Factors'!$A$9:$E$69,2)))*$N21</f>
        <v>0.11119999999999999</v>
      </c>
      <c r="Q21" s="14">
        <f>VLOOKUP(ROUNDDOWN($M21,0),'Emission Factors'!$A$9:$E$69,2)-((VLOOKUP(ROUNDDOWN($M21,0),'Emission Factors'!$A$9:$E$69,2))-(VLOOKUP(ROUNDUP($M21,0),'Emission Factors'!$A$9:$E$69,2)))*$O21</f>
        <v>0.11119999999999999</v>
      </c>
      <c r="R21" s="14">
        <f>VLOOKUP(ROUNDDOWN($F21,0),'Emission Factors'!$A$9:$E$69,3)-((VLOOKUP(ROUNDDOWN($F21,0),'Emission Factors'!$A$9:$E$69,3))-(VLOOKUP(ROUNDUP($F21,0),'Emission Factors'!$A$9:$E$69,3)))*$N21</f>
        <v>0.56020000000000003</v>
      </c>
      <c r="S21" s="14">
        <f>VLOOKUP(ROUNDDOWN($M21,0),'Emission Factors'!$A$9:$E$69,3)-((VLOOKUP(ROUNDDOWN($M21,0),'Emission Factors'!$A$9:$E$69,3))-(VLOOKUP(ROUNDUP($M21,0),'Emission Factors'!$A$9:$E$69,3)))*$O21</f>
        <v>0.56020000000000003</v>
      </c>
      <c r="T21" s="14">
        <f>VLOOKUP(ROUNDDOWN($F21,0),'Emission Factors'!$A$9:$E$69,4)-((VLOOKUP(ROUNDDOWN($F21,0),'Emission Factors'!$A$9:$E$69,4))-(VLOOKUP(ROUNDUP($F21,0),'Emission Factors'!$A$9:$E$69,4)))*$N21</f>
        <v>1.0439949430624132E-2</v>
      </c>
      <c r="U21" s="14">
        <f>VLOOKUP(ROUNDDOWN($M21,0),'Emission Factors'!$A$9:$E$69,4)-((VLOOKUP(ROUNDDOWN($M21,0),'Emission Factors'!$A$9:$E$69,4))-(VLOOKUP(ROUNDUP($M21,0),'Emission Factors'!$A$9:$E$69,4)))*$O21</f>
        <v>1.0439949430624132E-2</v>
      </c>
      <c r="V21" s="109">
        <f>VLOOKUP(ROUNDDOWN($F21,0),'Emission Factors'!$A$9:$E$69,5)-((VLOOKUP(ROUNDDOWN($F21,0),'Emission Factors'!$A$9:$E$69,5))-(VLOOKUP(ROUNDUP($F21,0),'Emission Factors'!$A$9:$E$69,5)))*$N21</f>
        <v>621.67639807025</v>
      </c>
      <c r="W21" s="109">
        <f>VLOOKUP(ROUNDDOWN($M21,0),'Emission Factors'!$A$9:$E$69,5)-((VLOOKUP(ROUNDDOWN($M21,0),'Emission Factors'!$A$9:$E$69,5))-(VLOOKUP(ROUNDUP($M21,0),'Emission Factors'!$A$9:$E$69,5)))*$O21</f>
        <v>621.67639807025</v>
      </c>
      <c r="X21" s="132"/>
      <c r="AA21" s="13"/>
      <c r="AD21" s="13"/>
      <c r="AE21" s="12"/>
      <c r="AF21" s="12"/>
      <c r="AH21" s="13"/>
    </row>
    <row r="22" spans="1:34" s="2" customFormat="1" ht="21" customHeight="1" x14ac:dyDescent="0.35">
      <c r="A22" s="73"/>
      <c r="B22" s="74"/>
      <c r="C22" s="74"/>
      <c r="D22" s="74"/>
      <c r="E22" s="75"/>
      <c r="F22" s="110">
        <v>5</v>
      </c>
      <c r="G22" s="110">
        <v>5</v>
      </c>
      <c r="H22" s="76">
        <f t="shared" si="0"/>
        <v>0</v>
      </c>
      <c r="I22" s="77">
        <f t="shared" si="1"/>
        <v>0</v>
      </c>
      <c r="J22" s="77">
        <f t="shared" si="2"/>
        <v>0</v>
      </c>
      <c r="K22" s="77">
        <f t="shared" si="3"/>
        <v>0</v>
      </c>
      <c r="L22" s="112">
        <f t="shared" si="4"/>
        <v>0</v>
      </c>
      <c r="M22" s="12">
        <f t="shared" si="5"/>
        <v>5</v>
      </c>
      <c r="N22" s="12">
        <f t="shared" si="6"/>
        <v>0</v>
      </c>
      <c r="O22" s="12">
        <f t="shared" si="7"/>
        <v>0</v>
      </c>
      <c r="P22" s="14">
        <f>VLOOKUP(ROUNDDOWN($F22,0),'Emission Factors'!$A$9:$E$69,2)-((VLOOKUP(ROUNDDOWN($F22,0),'Emission Factors'!$A$9:$E$69,2))-(VLOOKUP(ROUNDUP($F22,0),'Emission Factors'!$A$9:$E$69,2)))*$N22</f>
        <v>0.11119999999999999</v>
      </c>
      <c r="Q22" s="14">
        <f>VLOOKUP(ROUNDDOWN($M22,0),'Emission Factors'!$A$9:$E$69,2)-((VLOOKUP(ROUNDDOWN($M22,0),'Emission Factors'!$A$9:$E$69,2))-(VLOOKUP(ROUNDUP($M22,0),'Emission Factors'!$A$9:$E$69,2)))*$O22</f>
        <v>0.11119999999999999</v>
      </c>
      <c r="R22" s="14">
        <f>VLOOKUP(ROUNDDOWN($F22,0),'Emission Factors'!$A$9:$E$69,3)-((VLOOKUP(ROUNDDOWN($F22,0),'Emission Factors'!$A$9:$E$69,3))-(VLOOKUP(ROUNDUP($F22,0),'Emission Factors'!$A$9:$E$69,3)))*$N22</f>
        <v>0.56020000000000003</v>
      </c>
      <c r="S22" s="14">
        <f>VLOOKUP(ROUNDDOWN($M22,0),'Emission Factors'!$A$9:$E$69,3)-((VLOOKUP(ROUNDDOWN($M22,0),'Emission Factors'!$A$9:$E$69,3))-(VLOOKUP(ROUNDUP($M22,0),'Emission Factors'!$A$9:$E$69,3)))*$O22</f>
        <v>0.56020000000000003</v>
      </c>
      <c r="T22" s="14">
        <f>VLOOKUP(ROUNDDOWN($F22,0),'Emission Factors'!$A$9:$E$69,4)-((VLOOKUP(ROUNDDOWN($F22,0),'Emission Factors'!$A$9:$E$69,4))-(VLOOKUP(ROUNDUP($F22,0),'Emission Factors'!$A$9:$E$69,4)))*$N22</f>
        <v>1.0439949430624132E-2</v>
      </c>
      <c r="U22" s="14">
        <f>VLOOKUP(ROUNDDOWN($M22,0),'Emission Factors'!$A$9:$E$69,4)-((VLOOKUP(ROUNDDOWN($M22,0),'Emission Factors'!$A$9:$E$69,4))-(VLOOKUP(ROUNDUP($M22,0),'Emission Factors'!$A$9:$E$69,4)))*$O22</f>
        <v>1.0439949430624132E-2</v>
      </c>
      <c r="V22" s="109">
        <f>VLOOKUP(ROUNDDOWN($F22,0),'Emission Factors'!$A$9:$E$69,5)-((VLOOKUP(ROUNDDOWN($F22,0),'Emission Factors'!$A$9:$E$69,5))-(VLOOKUP(ROUNDUP($F22,0),'Emission Factors'!$A$9:$E$69,5)))*$N22</f>
        <v>621.67639807025</v>
      </c>
      <c r="W22" s="109">
        <f>VLOOKUP(ROUNDDOWN($M22,0),'Emission Factors'!$A$9:$E$69,5)-((VLOOKUP(ROUNDDOWN($M22,0),'Emission Factors'!$A$9:$E$69,5))-(VLOOKUP(ROUNDUP($M22,0),'Emission Factors'!$A$9:$E$69,5)))*$O22</f>
        <v>621.67639807025</v>
      </c>
      <c r="X22" s="132"/>
      <c r="AA22" s="13"/>
      <c r="AD22" s="13"/>
      <c r="AE22" s="12"/>
      <c r="AF22" s="12"/>
      <c r="AH22" s="13"/>
    </row>
    <row r="23" spans="1:34" s="2" customFormat="1" ht="21" customHeight="1" x14ac:dyDescent="0.35">
      <c r="A23" s="73"/>
      <c r="B23" s="74"/>
      <c r="C23" s="74"/>
      <c r="D23" s="74"/>
      <c r="E23" s="75"/>
      <c r="F23" s="110">
        <v>5</v>
      </c>
      <c r="G23" s="110">
        <v>5</v>
      </c>
      <c r="H23" s="76">
        <f t="shared" si="0"/>
        <v>0</v>
      </c>
      <c r="I23" s="77">
        <f t="shared" si="1"/>
        <v>0</v>
      </c>
      <c r="J23" s="77">
        <f t="shared" si="2"/>
        <v>0</v>
      </c>
      <c r="K23" s="77">
        <f t="shared" si="3"/>
        <v>0</v>
      </c>
      <c r="L23" s="112">
        <f t="shared" si="4"/>
        <v>0</v>
      </c>
      <c r="M23" s="12">
        <f t="shared" si="5"/>
        <v>5</v>
      </c>
      <c r="N23" s="12">
        <f t="shared" si="6"/>
        <v>0</v>
      </c>
      <c r="O23" s="12">
        <f t="shared" si="7"/>
        <v>0</v>
      </c>
      <c r="P23" s="14">
        <f>VLOOKUP(ROUNDDOWN($F23,0),'Emission Factors'!$A$9:$E$69,2)-((VLOOKUP(ROUNDDOWN($F23,0),'Emission Factors'!$A$9:$E$69,2))-(VLOOKUP(ROUNDUP($F23,0),'Emission Factors'!$A$9:$E$69,2)))*$N23</f>
        <v>0.11119999999999999</v>
      </c>
      <c r="Q23" s="14">
        <f>VLOOKUP(ROUNDDOWN($M23,0),'Emission Factors'!$A$9:$E$69,2)-((VLOOKUP(ROUNDDOWN($M23,0),'Emission Factors'!$A$9:$E$69,2))-(VLOOKUP(ROUNDUP($M23,0),'Emission Factors'!$A$9:$E$69,2)))*$O23</f>
        <v>0.11119999999999999</v>
      </c>
      <c r="R23" s="14">
        <f>VLOOKUP(ROUNDDOWN($F23,0),'Emission Factors'!$A$9:$E$69,3)-((VLOOKUP(ROUNDDOWN($F23,0),'Emission Factors'!$A$9:$E$69,3))-(VLOOKUP(ROUNDUP($F23,0),'Emission Factors'!$A$9:$E$69,3)))*$N23</f>
        <v>0.56020000000000003</v>
      </c>
      <c r="S23" s="14">
        <f>VLOOKUP(ROUNDDOWN($M23,0),'Emission Factors'!$A$9:$E$69,3)-((VLOOKUP(ROUNDDOWN($M23,0),'Emission Factors'!$A$9:$E$69,3))-(VLOOKUP(ROUNDUP($M23,0),'Emission Factors'!$A$9:$E$69,3)))*$O23</f>
        <v>0.56020000000000003</v>
      </c>
      <c r="T23" s="14">
        <f>VLOOKUP(ROUNDDOWN($F23,0),'Emission Factors'!$A$9:$E$69,4)-((VLOOKUP(ROUNDDOWN($F23,0),'Emission Factors'!$A$9:$E$69,4))-(VLOOKUP(ROUNDUP($F23,0),'Emission Factors'!$A$9:$E$69,4)))*$N23</f>
        <v>1.0439949430624132E-2</v>
      </c>
      <c r="U23" s="14">
        <f>VLOOKUP(ROUNDDOWN($M23,0),'Emission Factors'!$A$9:$E$69,4)-((VLOOKUP(ROUNDDOWN($M23,0),'Emission Factors'!$A$9:$E$69,4))-(VLOOKUP(ROUNDUP($M23,0),'Emission Factors'!$A$9:$E$69,4)))*$O23</f>
        <v>1.0439949430624132E-2</v>
      </c>
      <c r="V23" s="109">
        <f>VLOOKUP(ROUNDDOWN($F23,0),'Emission Factors'!$A$9:$E$69,5)-((VLOOKUP(ROUNDDOWN($F23,0),'Emission Factors'!$A$9:$E$69,5))-(VLOOKUP(ROUNDUP($F23,0),'Emission Factors'!$A$9:$E$69,5)))*$N23</f>
        <v>621.67639807025</v>
      </c>
      <c r="W23" s="109">
        <f>VLOOKUP(ROUNDDOWN($M23,0),'Emission Factors'!$A$9:$E$69,5)-((VLOOKUP(ROUNDDOWN($M23,0),'Emission Factors'!$A$9:$E$69,5))-(VLOOKUP(ROUNDUP($M23,0),'Emission Factors'!$A$9:$E$69,5)))*$O23</f>
        <v>621.67639807025</v>
      </c>
      <c r="X23" s="132"/>
      <c r="AA23" s="13"/>
      <c r="AD23" s="13"/>
      <c r="AE23" s="12"/>
      <c r="AF23" s="12"/>
      <c r="AH23" s="13"/>
    </row>
    <row r="24" spans="1:34" s="2" customFormat="1" ht="21" customHeight="1" thickBot="1" x14ac:dyDescent="0.4">
      <c r="A24" s="37"/>
      <c r="B24" s="38"/>
      <c r="C24" s="38"/>
      <c r="D24" s="38"/>
      <c r="E24" s="134"/>
      <c r="F24" s="38"/>
      <c r="G24" s="39" t="s">
        <v>35</v>
      </c>
      <c r="H24" s="134"/>
      <c r="I24" s="78">
        <f>SUM(I18:I23)</f>
        <v>0</v>
      </c>
      <c r="J24" s="78">
        <f>SUM(J18:J23)</f>
        <v>0</v>
      </c>
      <c r="K24" s="78">
        <f>SUM(K18:K23)</f>
        <v>0</v>
      </c>
      <c r="L24" s="113">
        <f>SUM(L18:L23)</f>
        <v>0</v>
      </c>
      <c r="N24" s="132"/>
    </row>
    <row r="25" spans="1:34" s="2" customFormat="1" ht="21" customHeight="1" thickBot="1" x14ac:dyDescent="0.4">
      <c r="A25" s="40"/>
      <c r="B25" s="40"/>
      <c r="C25" s="40"/>
      <c r="D25" s="40"/>
      <c r="E25" s="25"/>
      <c r="F25" s="40"/>
      <c r="G25" s="41"/>
      <c r="H25" s="41"/>
      <c r="I25" s="42"/>
      <c r="J25" s="42"/>
      <c r="K25" s="25"/>
      <c r="L25" s="25"/>
      <c r="M25" s="132"/>
    </row>
    <row r="26" spans="1:34" s="2" customFormat="1" ht="15.5" x14ac:dyDescent="0.35">
      <c r="A26" s="87" t="s">
        <v>36</v>
      </c>
      <c r="B26" s="115"/>
      <c r="C26" s="115"/>
      <c r="D26" s="88" t="s">
        <v>37</v>
      </c>
      <c r="E26" s="88" t="s">
        <v>38</v>
      </c>
      <c r="F26" s="88"/>
      <c r="G26" s="40"/>
      <c r="H26" s="25"/>
      <c r="I26" s="25"/>
      <c r="J26" s="25"/>
      <c r="K26" s="25"/>
      <c r="L26" s="25"/>
      <c r="N26" s="135"/>
      <c r="O26" s="135"/>
    </row>
    <row r="27" spans="1:34" s="2" customFormat="1" ht="15.5" x14ac:dyDescent="0.35">
      <c r="A27" s="44" t="s">
        <v>78</v>
      </c>
      <c r="B27" s="46"/>
      <c r="C27" s="46"/>
      <c r="D27" s="48">
        <f>I24/2000</f>
        <v>0</v>
      </c>
      <c r="E27" s="48">
        <f>Annual_ROG_Emissions*Yrs_Effectiveness</f>
        <v>0</v>
      </c>
      <c r="F27" s="49" t="s">
        <v>44</v>
      </c>
      <c r="G27" s="50"/>
      <c r="H27" s="45"/>
      <c r="I27" s="45"/>
      <c r="J27" s="25"/>
      <c r="K27" s="45"/>
      <c r="L27" s="25"/>
      <c r="N27" s="25"/>
      <c r="O27" s="25"/>
      <c r="P27" s="95"/>
      <c r="Q27" s="95"/>
      <c r="R27" s="25"/>
    </row>
    <row r="28" spans="1:34" s="2" customFormat="1" ht="15.5" x14ac:dyDescent="0.35">
      <c r="A28" s="44" t="s">
        <v>79</v>
      </c>
      <c r="B28" s="46"/>
      <c r="C28" s="46"/>
      <c r="D28" s="48">
        <f>J24/2000</f>
        <v>0</v>
      </c>
      <c r="E28" s="48">
        <f>Annual_NOx_Emissions*Yrs_Effectiveness</f>
        <v>0</v>
      </c>
      <c r="F28" s="49" t="s">
        <v>44</v>
      </c>
      <c r="G28" s="50"/>
      <c r="H28" s="25"/>
      <c r="I28" s="25"/>
      <c r="J28" s="25"/>
      <c r="K28" s="40"/>
      <c r="L28" s="25"/>
      <c r="N28" s="25"/>
      <c r="O28" s="25"/>
      <c r="P28" s="95"/>
      <c r="Q28" s="95"/>
      <c r="R28" s="25"/>
    </row>
    <row r="29" spans="1:34" s="2" customFormat="1" ht="15.5" x14ac:dyDescent="0.35">
      <c r="A29" s="44" t="s">
        <v>80</v>
      </c>
      <c r="B29" s="46"/>
      <c r="C29" s="46"/>
      <c r="D29" s="48">
        <f>K24/2000</f>
        <v>0</v>
      </c>
      <c r="E29" s="48">
        <f>Annual_PM_Emissions*Yrs_Effectiveness</f>
        <v>0</v>
      </c>
      <c r="F29" s="49" t="s">
        <v>44</v>
      </c>
      <c r="G29" s="50"/>
      <c r="H29" s="25"/>
      <c r="I29" s="25"/>
      <c r="J29" s="40"/>
      <c r="K29" s="40"/>
      <c r="L29" s="25"/>
      <c r="N29" s="136"/>
      <c r="O29" s="132"/>
    </row>
    <row r="30" spans="1:34" s="2" customFormat="1" ht="15.5" x14ac:dyDescent="0.35">
      <c r="A30" s="44" t="s">
        <v>74</v>
      </c>
      <c r="B30" s="46"/>
      <c r="C30" s="46"/>
      <c r="D30" s="48">
        <f>Annual_PM_Emissions*20</f>
        <v>0</v>
      </c>
      <c r="E30" s="48">
        <f>Annual_Weighted_PM_Emissions*Yrs_Effectiveness</f>
        <v>0</v>
      </c>
      <c r="F30" s="49" t="s">
        <v>44</v>
      </c>
      <c r="G30" s="50"/>
      <c r="H30" s="25"/>
      <c r="I30" s="25"/>
      <c r="J30" s="40"/>
      <c r="K30" s="40"/>
      <c r="L30" s="25"/>
      <c r="N30" s="136"/>
      <c r="O30" s="132"/>
    </row>
    <row r="31" spans="1:34" s="2" customFormat="1" ht="15.5" x14ac:dyDescent="0.35">
      <c r="A31" s="44" t="s">
        <v>75</v>
      </c>
      <c r="B31" s="46"/>
      <c r="C31" s="46"/>
      <c r="D31" s="111">
        <f>L24/2000</f>
        <v>0</v>
      </c>
      <c r="E31" s="111">
        <f>Annual_CO2_Emissions*Yrs_Effectiveness</f>
        <v>0</v>
      </c>
      <c r="F31" s="49" t="s">
        <v>44</v>
      </c>
      <c r="G31" s="50"/>
      <c r="H31" s="25"/>
      <c r="I31" s="25"/>
      <c r="J31" s="40"/>
      <c r="K31" s="40"/>
      <c r="L31" s="25"/>
      <c r="N31" s="136"/>
      <c r="O31" s="132"/>
    </row>
    <row r="32" spans="1:34" s="2" customFormat="1" ht="15.5" x14ac:dyDescent="0.35">
      <c r="A32" s="44" t="s">
        <v>76</v>
      </c>
      <c r="B32" s="46"/>
      <c r="C32" s="46"/>
      <c r="D32" s="48">
        <f>Annual_ROG_Emissions+Annual_NOx_Emissions+Annual_PM_Emissions</f>
        <v>0</v>
      </c>
      <c r="E32" s="48">
        <f>Annual_Emission_Reductions_ROG_NOx_PM*Yrs_Effectiveness</f>
        <v>0</v>
      </c>
      <c r="F32" s="49" t="s">
        <v>44</v>
      </c>
      <c r="G32" s="50"/>
      <c r="H32" s="25"/>
      <c r="I32" s="25"/>
      <c r="J32" s="40"/>
      <c r="K32" s="40"/>
      <c r="L32" s="25"/>
      <c r="N32" s="136"/>
      <c r="O32" s="132"/>
    </row>
    <row r="33" spans="1:22" s="2" customFormat="1" ht="15.5" x14ac:dyDescent="0.35">
      <c r="A33" s="44" t="s">
        <v>77</v>
      </c>
      <c r="B33" s="46"/>
      <c r="C33" s="46"/>
      <c r="D33" s="47"/>
      <c r="E33" s="97" t="e">
        <f>Total_TFCA_Cost/(Lifetime_ROG_Emissions+Lifetime_NOx_Emissions+Lifetime_PM_Emissions)</f>
        <v>#DIV/0!</v>
      </c>
      <c r="F33" s="89" t="s">
        <v>39</v>
      </c>
      <c r="G33" s="50"/>
      <c r="H33" s="25"/>
      <c r="I33" s="25"/>
      <c r="J33" s="40"/>
      <c r="K33" s="40"/>
      <c r="L33" s="25"/>
      <c r="M33" s="132"/>
      <c r="N33" s="136"/>
      <c r="O33" s="132"/>
    </row>
    <row r="34" spans="1:22" s="2" customFormat="1" ht="33" customHeight="1" thickBot="1" x14ac:dyDescent="0.4">
      <c r="A34" s="190" t="s">
        <v>92</v>
      </c>
      <c r="B34" s="191"/>
      <c r="C34" s="191"/>
      <c r="D34" s="192"/>
      <c r="E34" s="137" t="e">
        <f>Total_TFCA_Cost/(Lifetime_ROG_Emissions+Lifetime_NOx_Emissions+E30)</f>
        <v>#DIV/0!</v>
      </c>
      <c r="F34" s="90" t="s">
        <v>39</v>
      </c>
      <c r="G34" s="50"/>
      <c r="H34" s="40"/>
      <c r="I34" s="40"/>
      <c r="J34" s="40"/>
      <c r="K34" s="40"/>
      <c r="L34" s="25"/>
      <c r="N34" s="136"/>
      <c r="O34" s="132"/>
    </row>
    <row r="35" spans="1:22" s="2" customFormat="1" ht="15.5" x14ac:dyDescent="0.35">
      <c r="A35"/>
      <c r="B35"/>
      <c r="C35"/>
      <c r="D35"/>
      <c r="E35"/>
      <c r="F35"/>
      <c r="G35" s="25"/>
      <c r="H35" s="25"/>
      <c r="I35" s="43"/>
      <c r="J35" s="43"/>
      <c r="K35" s="43"/>
      <c r="L35" s="25"/>
      <c r="N35" s="9"/>
      <c r="O35"/>
    </row>
    <row r="36" spans="1:22" s="2" customFormat="1" ht="15" customHeight="1" x14ac:dyDescent="0.35">
      <c r="A36" s="116"/>
      <c r="B36" s="117"/>
      <c r="C36" s="117"/>
      <c r="D36"/>
      <c r="E36"/>
      <c r="F36"/>
      <c r="G36" s="25"/>
      <c r="H36" s="25"/>
      <c r="I36" s="43"/>
      <c r="J36" s="43"/>
      <c r="K36" s="43"/>
      <c r="L36" s="25"/>
      <c r="N36" s="9"/>
      <c r="O36"/>
    </row>
    <row r="37" spans="1:22" x14ac:dyDescent="0.3">
      <c r="F37" s="8"/>
      <c r="N37" s="9"/>
      <c r="V37" s="9"/>
    </row>
    <row r="38" spans="1:22" x14ac:dyDescent="0.3">
      <c r="B38" s="55"/>
      <c r="C38" s="55"/>
      <c r="D38" s="56"/>
      <c r="E38" s="57"/>
      <c r="F38" s="9"/>
      <c r="I38" s="8"/>
      <c r="J38" s="8"/>
      <c r="K38" s="8"/>
      <c r="N38" s="9"/>
      <c r="V38" s="9"/>
    </row>
    <row r="39" spans="1:22" x14ac:dyDescent="0.3">
      <c r="A39" s="58"/>
      <c r="B39" s="59"/>
      <c r="C39" s="59"/>
      <c r="E39" s="51"/>
      <c r="F39" s="9"/>
      <c r="G39" s="8"/>
      <c r="H39" s="7"/>
      <c r="J39" s="9"/>
      <c r="N39" s="9"/>
      <c r="V39" s="9"/>
    </row>
    <row r="40" spans="1:22" x14ac:dyDescent="0.3">
      <c r="B40" s="59"/>
      <c r="C40" s="59"/>
      <c r="E40" s="51"/>
      <c r="F40" s="9"/>
      <c r="N40" s="9"/>
      <c r="V40" s="9"/>
    </row>
    <row r="41" spans="1:22" x14ac:dyDescent="0.3">
      <c r="B41" s="59"/>
      <c r="C41" s="59"/>
      <c r="E41" s="51"/>
      <c r="F41" s="9"/>
      <c r="N41" s="9"/>
      <c r="V41" s="9"/>
    </row>
    <row r="42" spans="1:22" x14ac:dyDescent="0.3">
      <c r="B42" s="59"/>
      <c r="C42" s="59"/>
      <c r="E42" s="51"/>
      <c r="F42" s="9"/>
      <c r="N42" s="9"/>
      <c r="V42" s="9"/>
    </row>
    <row r="43" spans="1:22" x14ac:dyDescent="0.3">
      <c r="B43" s="55"/>
      <c r="C43" s="55"/>
      <c r="D43" s="56"/>
      <c r="E43" s="57"/>
      <c r="F43" s="9"/>
      <c r="N43" s="9"/>
      <c r="V43" s="9"/>
    </row>
    <row r="44" spans="1:22" x14ac:dyDescent="0.3">
      <c r="B44" s="59"/>
      <c r="C44" s="59"/>
      <c r="E44" s="51"/>
      <c r="F44" s="9"/>
      <c r="N44" s="9"/>
      <c r="V44" s="9"/>
    </row>
    <row r="45" spans="1:22" x14ac:dyDescent="0.3">
      <c r="B45" s="59"/>
      <c r="C45" s="59"/>
      <c r="E45" s="51"/>
      <c r="F45" s="9"/>
      <c r="N45" s="9"/>
      <c r="V45" s="9"/>
    </row>
    <row r="46" spans="1:22" x14ac:dyDescent="0.3">
      <c r="B46" s="59"/>
      <c r="C46" s="59"/>
      <c r="E46" s="51"/>
      <c r="F46" s="9"/>
      <c r="I46" s="7"/>
      <c r="K46" s="16"/>
      <c r="L46" s="7"/>
      <c r="N46" s="9"/>
      <c r="V46" s="9"/>
    </row>
    <row r="47" spans="1:22" x14ac:dyDescent="0.3">
      <c r="B47" s="59"/>
      <c r="C47" s="59"/>
      <c r="E47" s="51"/>
      <c r="F47" s="9"/>
      <c r="K47" s="16"/>
      <c r="L47" s="7"/>
      <c r="N47" s="9"/>
      <c r="V47" s="9"/>
    </row>
    <row r="48" spans="1:22" x14ac:dyDescent="0.3">
      <c r="B48" s="55"/>
      <c r="C48" s="55"/>
      <c r="D48" s="56"/>
      <c r="E48" s="57"/>
      <c r="F48" s="9"/>
      <c r="K48" s="16"/>
      <c r="L48" s="7"/>
      <c r="N48" s="9"/>
      <c r="V48" s="9"/>
    </row>
    <row r="49" spans="2:22" x14ac:dyDescent="0.3">
      <c r="B49" s="59"/>
      <c r="C49" s="59"/>
      <c r="E49" s="51"/>
      <c r="F49" s="9"/>
      <c r="L49" s="7"/>
      <c r="N49" s="9"/>
      <c r="V49" s="9"/>
    </row>
    <row r="50" spans="2:22" x14ac:dyDescent="0.3">
      <c r="B50" s="59"/>
      <c r="C50" s="59"/>
      <c r="E50" s="51"/>
      <c r="F50" s="9"/>
      <c r="H50" s="7"/>
      <c r="I50" s="15"/>
      <c r="N50" s="9"/>
      <c r="V50" s="9"/>
    </row>
    <row r="51" spans="2:22" ht="15.5" x14ac:dyDescent="0.35">
      <c r="B51" s="59"/>
      <c r="C51" s="59"/>
      <c r="E51" s="51"/>
      <c r="F51" s="9"/>
      <c r="G51" s="24"/>
      <c r="I51" s="15"/>
      <c r="N51" s="9"/>
      <c r="V51" s="9"/>
    </row>
    <row r="52" spans="2:22" x14ac:dyDescent="0.3">
      <c r="B52" s="59"/>
      <c r="C52" s="59"/>
      <c r="E52" s="51"/>
      <c r="F52" s="9"/>
      <c r="I52" s="15"/>
      <c r="N52" s="9"/>
      <c r="V52" s="9"/>
    </row>
    <row r="53" spans="2:22" x14ac:dyDescent="0.3">
      <c r="B53" s="55"/>
      <c r="C53" s="55"/>
      <c r="D53" s="56"/>
      <c r="E53" s="57"/>
      <c r="F53" s="9"/>
      <c r="I53" s="15"/>
      <c r="N53" s="9"/>
      <c r="V53" s="9"/>
    </row>
    <row r="54" spans="2:22" x14ac:dyDescent="0.3">
      <c r="B54" s="59"/>
      <c r="C54" s="59"/>
      <c r="E54" s="51"/>
      <c r="F54" s="9"/>
      <c r="I54" s="15"/>
      <c r="N54" s="9"/>
      <c r="V54" s="9"/>
    </row>
    <row r="55" spans="2:22" x14ac:dyDescent="0.3">
      <c r="B55" s="59"/>
      <c r="C55" s="59"/>
      <c r="E55" s="51"/>
      <c r="F55" s="9"/>
      <c r="I55" s="15"/>
      <c r="N55" s="9"/>
      <c r="V55" s="9"/>
    </row>
    <row r="56" spans="2:22" x14ac:dyDescent="0.3">
      <c r="B56" s="59"/>
      <c r="C56" s="59"/>
      <c r="E56" s="51"/>
      <c r="F56" s="9"/>
      <c r="I56" s="15"/>
      <c r="N56" s="9"/>
      <c r="V56" s="9"/>
    </row>
    <row r="57" spans="2:22" x14ac:dyDescent="0.3">
      <c r="B57" s="59"/>
      <c r="C57" s="59"/>
      <c r="E57" s="51"/>
      <c r="F57" s="9"/>
      <c r="I57" s="15"/>
      <c r="N57" s="9"/>
      <c r="V57" s="9"/>
    </row>
    <row r="58" spans="2:22" x14ac:dyDescent="0.3">
      <c r="B58" s="55"/>
      <c r="C58" s="55"/>
      <c r="D58" s="56"/>
      <c r="E58" s="57"/>
      <c r="F58" s="9"/>
      <c r="I58" s="15"/>
      <c r="N58" s="9"/>
      <c r="V58" s="9"/>
    </row>
    <row r="59" spans="2:22" x14ac:dyDescent="0.3">
      <c r="B59" s="59"/>
      <c r="C59" s="59"/>
      <c r="E59" s="51"/>
      <c r="F59" s="9"/>
      <c r="I59" s="15"/>
      <c r="N59" s="9"/>
      <c r="V59" s="9"/>
    </row>
    <row r="60" spans="2:22" x14ac:dyDescent="0.3">
      <c r="B60" s="59"/>
      <c r="C60" s="59"/>
      <c r="E60" s="51"/>
      <c r="F60" s="9"/>
      <c r="I60" s="15"/>
      <c r="N60" s="9"/>
      <c r="V60" s="9"/>
    </row>
    <row r="61" spans="2:22" x14ac:dyDescent="0.3">
      <c r="B61" s="59"/>
      <c r="C61" s="59"/>
      <c r="E61" s="51"/>
      <c r="F61" s="9"/>
      <c r="I61" s="15"/>
      <c r="N61" s="9"/>
      <c r="V61" s="9"/>
    </row>
    <row r="62" spans="2:22" x14ac:dyDescent="0.3">
      <c r="B62" s="59"/>
      <c r="C62" s="59"/>
      <c r="E62" s="51"/>
      <c r="F62" s="9"/>
      <c r="I62" s="15"/>
      <c r="N62" s="9"/>
      <c r="V62" s="9"/>
    </row>
    <row r="63" spans="2:22" x14ac:dyDescent="0.3">
      <c r="B63" s="55"/>
      <c r="C63" s="55"/>
      <c r="D63" s="56"/>
      <c r="E63" s="57"/>
      <c r="F63" s="9"/>
      <c r="I63" s="15"/>
      <c r="N63" s="9"/>
    </row>
    <row r="64" spans="2:22" x14ac:dyDescent="0.3">
      <c r="B64" s="59"/>
      <c r="C64" s="59"/>
      <c r="E64" s="51"/>
      <c r="F64" s="9"/>
      <c r="I64" s="15"/>
      <c r="N64" s="9"/>
    </row>
    <row r="65" spans="2:14" x14ac:dyDescent="0.3">
      <c r="B65" s="59"/>
      <c r="C65" s="59"/>
      <c r="E65" s="51"/>
      <c r="F65" s="9"/>
      <c r="I65" s="15"/>
      <c r="J65" s="15"/>
      <c r="N65" s="9"/>
    </row>
    <row r="66" spans="2:14" x14ac:dyDescent="0.3">
      <c r="B66" s="59"/>
      <c r="C66" s="59"/>
      <c r="E66" s="51"/>
      <c r="F66" s="9"/>
      <c r="I66" s="15"/>
      <c r="J66" s="15"/>
      <c r="N66" s="9"/>
    </row>
    <row r="67" spans="2:14" x14ac:dyDescent="0.3">
      <c r="B67" s="59"/>
      <c r="C67" s="59"/>
      <c r="E67" s="51"/>
      <c r="F67" s="9"/>
      <c r="I67" s="15"/>
      <c r="J67" s="15"/>
      <c r="N67" s="9"/>
    </row>
    <row r="68" spans="2:14" x14ac:dyDescent="0.3">
      <c r="I68" s="15"/>
      <c r="J68" s="15"/>
      <c r="N68" s="9"/>
    </row>
    <row r="69" spans="2:14" x14ac:dyDescent="0.3">
      <c r="I69" s="15"/>
      <c r="J69" s="15"/>
      <c r="N69" s="9"/>
    </row>
    <row r="70" spans="2:14" x14ac:dyDescent="0.3">
      <c r="N70" s="9"/>
    </row>
    <row r="71" spans="2:14" x14ac:dyDescent="0.3">
      <c r="N71" s="9"/>
    </row>
    <row r="72" spans="2:14" x14ac:dyDescent="0.3">
      <c r="N72" s="9"/>
    </row>
    <row r="73" spans="2:14" x14ac:dyDescent="0.3">
      <c r="N73" s="9"/>
    </row>
    <row r="74" spans="2:14" x14ac:dyDescent="0.3">
      <c r="N74" s="9"/>
    </row>
    <row r="75" spans="2:14" x14ac:dyDescent="0.3">
      <c r="N75" s="9"/>
    </row>
    <row r="76" spans="2:14" x14ac:dyDescent="0.3">
      <c r="N76" s="9"/>
    </row>
    <row r="77" spans="2:14" x14ac:dyDescent="0.3">
      <c r="N77" s="9"/>
    </row>
    <row r="78" spans="2:14" x14ac:dyDescent="0.3">
      <c r="N78" s="9"/>
    </row>
    <row r="79" spans="2:14" x14ac:dyDescent="0.3">
      <c r="N79" s="9"/>
    </row>
    <row r="80" spans="2:14" x14ac:dyDescent="0.3">
      <c r="N80" s="9"/>
    </row>
    <row r="81" spans="14:14" x14ac:dyDescent="0.3">
      <c r="N81" s="9"/>
    </row>
    <row r="82" spans="14:14" x14ac:dyDescent="0.3">
      <c r="N82" s="9"/>
    </row>
    <row r="83" spans="14:14" x14ac:dyDescent="0.3">
      <c r="N83" s="9"/>
    </row>
    <row r="84" spans="14:14" x14ac:dyDescent="0.3">
      <c r="N84" s="9"/>
    </row>
    <row r="85" spans="14:14" x14ac:dyDescent="0.3">
      <c r="N85" s="9"/>
    </row>
    <row r="86" spans="14:14" x14ac:dyDescent="0.3">
      <c r="N86" s="9"/>
    </row>
    <row r="87" spans="14:14" x14ac:dyDescent="0.3">
      <c r="N87" s="9"/>
    </row>
    <row r="88" spans="14:14" x14ac:dyDescent="0.3">
      <c r="N88" s="9"/>
    </row>
    <row r="89" spans="14:14" x14ac:dyDescent="0.3">
      <c r="N89" s="9"/>
    </row>
    <row r="90" spans="14:14" x14ac:dyDescent="0.3">
      <c r="N90" s="9"/>
    </row>
    <row r="91" spans="14:14" x14ac:dyDescent="0.3">
      <c r="N91" s="9"/>
    </row>
    <row r="92" spans="14:14" x14ac:dyDescent="0.3">
      <c r="N92" s="9"/>
    </row>
    <row r="93" spans="14:14" x14ac:dyDescent="0.3">
      <c r="N93" s="9"/>
    </row>
    <row r="94" spans="14:14" x14ac:dyDescent="0.3">
      <c r="N94" s="9"/>
    </row>
    <row r="95" spans="14:14" x14ac:dyDescent="0.3">
      <c r="N95" s="9"/>
    </row>
    <row r="96" spans="14:14" x14ac:dyDescent="0.3">
      <c r="N96" s="9"/>
    </row>
    <row r="97" spans="14:14" x14ac:dyDescent="0.3">
      <c r="N97" s="9"/>
    </row>
    <row r="98" spans="14:14" x14ac:dyDescent="0.3">
      <c r="N98" s="9"/>
    </row>
    <row r="99" spans="14:14" x14ac:dyDescent="0.3">
      <c r="N99" s="9"/>
    </row>
    <row r="100" spans="14:14" x14ac:dyDescent="0.3">
      <c r="N100" s="9"/>
    </row>
    <row r="101" spans="14:14" x14ac:dyDescent="0.3">
      <c r="N101" s="9"/>
    </row>
    <row r="102" spans="14:14" x14ac:dyDescent="0.3">
      <c r="N102" s="9"/>
    </row>
    <row r="103" spans="14:14" x14ac:dyDescent="0.3">
      <c r="N103" s="9"/>
    </row>
    <row r="104" spans="14:14" x14ac:dyDescent="0.3">
      <c r="N104" s="9"/>
    </row>
    <row r="105" spans="14:14" x14ac:dyDescent="0.3">
      <c r="N105" s="9"/>
    </row>
    <row r="106" spans="14:14" x14ac:dyDescent="0.3">
      <c r="N106" s="9"/>
    </row>
    <row r="107" spans="14:14" x14ac:dyDescent="0.3">
      <c r="N107" s="9"/>
    </row>
    <row r="108" spans="14:14" x14ac:dyDescent="0.3">
      <c r="N108" s="9"/>
    </row>
    <row r="109" spans="14:14" x14ac:dyDescent="0.3">
      <c r="N109" s="9"/>
    </row>
    <row r="110" spans="14:14" x14ac:dyDescent="0.3">
      <c r="N110" s="9"/>
    </row>
    <row r="111" spans="14:14" x14ac:dyDescent="0.3">
      <c r="N111" s="9"/>
    </row>
    <row r="112" spans="14:14" x14ac:dyDescent="0.3">
      <c r="N112" s="9"/>
    </row>
    <row r="113" spans="14:14" x14ac:dyDescent="0.3">
      <c r="N113" s="9"/>
    </row>
    <row r="114" spans="14:14" x14ac:dyDescent="0.3">
      <c r="N114" s="9"/>
    </row>
    <row r="115" spans="14:14" x14ac:dyDescent="0.3">
      <c r="N115" s="9"/>
    </row>
    <row r="116" spans="14:14" x14ac:dyDescent="0.3">
      <c r="N116" s="9"/>
    </row>
    <row r="117" spans="14:14" x14ac:dyDescent="0.3">
      <c r="N117" s="9"/>
    </row>
    <row r="118" spans="14:14" x14ac:dyDescent="0.3">
      <c r="N118" s="9"/>
    </row>
    <row r="119" spans="14:14" x14ac:dyDescent="0.3">
      <c r="N119" s="9"/>
    </row>
    <row r="120" spans="14:14" x14ac:dyDescent="0.3">
      <c r="N120" s="9"/>
    </row>
    <row r="121" spans="14:14" x14ac:dyDescent="0.3">
      <c r="N121" s="9"/>
    </row>
    <row r="122" spans="14:14" x14ac:dyDescent="0.3">
      <c r="N122" s="9"/>
    </row>
    <row r="123" spans="14:14" x14ac:dyDescent="0.3">
      <c r="N123" s="9"/>
    </row>
    <row r="124" spans="14:14" x14ac:dyDescent="0.3">
      <c r="N124" s="9"/>
    </row>
    <row r="125" spans="14:14" x14ac:dyDescent="0.3">
      <c r="N125" s="9"/>
    </row>
    <row r="126" spans="14:14" x14ac:dyDescent="0.3">
      <c r="N126" s="9"/>
    </row>
    <row r="127" spans="14:14" x14ac:dyDescent="0.3">
      <c r="N127" s="9"/>
    </row>
    <row r="128" spans="14:14" x14ac:dyDescent="0.3">
      <c r="N128" s="9"/>
    </row>
    <row r="129" spans="14:14" x14ac:dyDescent="0.3">
      <c r="N129" s="9"/>
    </row>
    <row r="130" spans="14:14" x14ac:dyDescent="0.3">
      <c r="N130" s="9"/>
    </row>
    <row r="131" spans="14:14" x14ac:dyDescent="0.3">
      <c r="N131" s="9"/>
    </row>
    <row r="132" spans="14:14" x14ac:dyDescent="0.3">
      <c r="N132" s="9"/>
    </row>
    <row r="133" spans="14:14" x14ac:dyDescent="0.3">
      <c r="N133" s="9"/>
    </row>
    <row r="134" spans="14:14" x14ac:dyDescent="0.3">
      <c r="N134" s="9"/>
    </row>
    <row r="135" spans="14:14" x14ac:dyDescent="0.3">
      <c r="N135" s="9"/>
    </row>
    <row r="136" spans="14:14" x14ac:dyDescent="0.3">
      <c r="N136" s="9"/>
    </row>
    <row r="137" spans="14:14" x14ac:dyDescent="0.3">
      <c r="N137" s="9"/>
    </row>
    <row r="138" spans="14:14" x14ac:dyDescent="0.3">
      <c r="N138" s="9"/>
    </row>
    <row r="139" spans="14:14" x14ac:dyDescent="0.3">
      <c r="N139" s="9"/>
    </row>
    <row r="140" spans="14:14" x14ac:dyDescent="0.3">
      <c r="N140" s="9"/>
    </row>
    <row r="141" spans="14:14" x14ac:dyDescent="0.3">
      <c r="N141" s="9"/>
    </row>
    <row r="142" spans="14:14" x14ac:dyDescent="0.3">
      <c r="N142" s="9"/>
    </row>
    <row r="143" spans="14:14" x14ac:dyDescent="0.3">
      <c r="N143" s="9"/>
    </row>
    <row r="144" spans="14:14" x14ac:dyDescent="0.3">
      <c r="N144" s="9"/>
    </row>
    <row r="145" spans="14:14" x14ac:dyDescent="0.3">
      <c r="N145" s="9"/>
    </row>
    <row r="146" spans="14:14" x14ac:dyDescent="0.3">
      <c r="N146" s="9"/>
    </row>
    <row r="147" spans="14:14" x14ac:dyDescent="0.3">
      <c r="N147" s="9"/>
    </row>
    <row r="148" spans="14:14" x14ac:dyDescent="0.3">
      <c r="N148" s="9"/>
    </row>
    <row r="149" spans="14:14" x14ac:dyDescent="0.3">
      <c r="N149" s="9"/>
    </row>
    <row r="150" spans="14:14" x14ac:dyDescent="0.3">
      <c r="N150" s="9"/>
    </row>
    <row r="151" spans="14:14" x14ac:dyDescent="0.3">
      <c r="N151" s="9"/>
    </row>
    <row r="152" spans="14:14" x14ac:dyDescent="0.3">
      <c r="N152" s="9"/>
    </row>
    <row r="153" spans="14:14" x14ac:dyDescent="0.3">
      <c r="N153" s="9"/>
    </row>
    <row r="154" spans="14:14" x14ac:dyDescent="0.3">
      <c r="N154" s="9"/>
    </row>
    <row r="155" spans="14:14" x14ac:dyDescent="0.3">
      <c r="N155" s="9"/>
    </row>
    <row r="156" spans="14:14" x14ac:dyDescent="0.3">
      <c r="N156" s="9"/>
    </row>
    <row r="157" spans="14:14" x14ac:dyDescent="0.3">
      <c r="N157" s="9"/>
    </row>
    <row r="158" spans="14:14" x14ac:dyDescent="0.3">
      <c r="N158" s="9"/>
    </row>
    <row r="159" spans="14:14" x14ac:dyDescent="0.3">
      <c r="N159" s="9"/>
    </row>
    <row r="160" spans="14:14" x14ac:dyDescent="0.3">
      <c r="N160" s="9"/>
    </row>
    <row r="161" spans="14:14" x14ac:dyDescent="0.3">
      <c r="N161" s="9"/>
    </row>
    <row r="162" spans="14:14" x14ac:dyDescent="0.3">
      <c r="N162" s="9"/>
    </row>
    <row r="163" spans="14:14" x14ac:dyDescent="0.3">
      <c r="N163" s="9"/>
    </row>
    <row r="164" spans="14:14" x14ac:dyDescent="0.3">
      <c r="N164" s="9"/>
    </row>
    <row r="165" spans="14:14" x14ac:dyDescent="0.3">
      <c r="N165" s="9"/>
    </row>
    <row r="166" spans="14:14" x14ac:dyDescent="0.3">
      <c r="N166" s="9"/>
    </row>
    <row r="167" spans="14:14" x14ac:dyDescent="0.3">
      <c r="N167" s="9"/>
    </row>
    <row r="168" spans="14:14" x14ac:dyDescent="0.3">
      <c r="N168" s="9"/>
    </row>
    <row r="169" spans="14:14" x14ac:dyDescent="0.3">
      <c r="N169" s="9"/>
    </row>
    <row r="170" spans="14:14" x14ac:dyDescent="0.3">
      <c r="N170" s="9"/>
    </row>
    <row r="171" spans="14:14" x14ac:dyDescent="0.3">
      <c r="N171" s="9"/>
    </row>
    <row r="172" spans="14:14" x14ac:dyDescent="0.3">
      <c r="N172" s="9"/>
    </row>
    <row r="173" spans="14:14" x14ac:dyDescent="0.3">
      <c r="N173" s="9"/>
    </row>
    <row r="174" spans="14:14" x14ac:dyDescent="0.3">
      <c r="N174" s="9"/>
    </row>
    <row r="175" spans="14:14" x14ac:dyDescent="0.3">
      <c r="N175" s="9"/>
    </row>
    <row r="176" spans="14:14" x14ac:dyDescent="0.3">
      <c r="N176" s="9"/>
    </row>
    <row r="177" spans="14:14" x14ac:dyDescent="0.3">
      <c r="N177" s="9"/>
    </row>
    <row r="178" spans="14:14" x14ac:dyDescent="0.3">
      <c r="N178" s="9"/>
    </row>
    <row r="179" spans="14:14" x14ac:dyDescent="0.3">
      <c r="N179" s="9"/>
    </row>
    <row r="180" spans="14:14" x14ac:dyDescent="0.3">
      <c r="N180" s="9"/>
    </row>
    <row r="181" spans="14:14" x14ac:dyDescent="0.3">
      <c r="N181" s="9"/>
    </row>
    <row r="182" spans="14:14" x14ac:dyDescent="0.3">
      <c r="N182" s="9"/>
    </row>
    <row r="183" spans="14:14" x14ac:dyDescent="0.3">
      <c r="N183" s="9"/>
    </row>
    <row r="184" spans="14:14" x14ac:dyDescent="0.3">
      <c r="N184" s="9"/>
    </row>
    <row r="185" spans="14:14" x14ac:dyDescent="0.3">
      <c r="N185" s="9"/>
    </row>
    <row r="186" spans="14:14" x14ac:dyDescent="0.3">
      <c r="N186" s="9"/>
    </row>
    <row r="187" spans="14:14" x14ac:dyDescent="0.3">
      <c r="N187" s="9"/>
    </row>
    <row r="188" spans="14:14" x14ac:dyDescent="0.3">
      <c r="N188" s="9"/>
    </row>
    <row r="189" spans="14:14" x14ac:dyDescent="0.3">
      <c r="N189" s="9"/>
    </row>
    <row r="190" spans="14:14" x14ac:dyDescent="0.3">
      <c r="N190" s="9"/>
    </row>
    <row r="191" spans="14:14" x14ac:dyDescent="0.3">
      <c r="N191" s="9"/>
    </row>
    <row r="192" spans="14:14" x14ac:dyDescent="0.3">
      <c r="N192" s="9"/>
    </row>
    <row r="193" spans="14:14" x14ac:dyDescent="0.3">
      <c r="N193" s="9"/>
    </row>
    <row r="194" spans="14:14" x14ac:dyDescent="0.3">
      <c r="N194" s="9"/>
    </row>
    <row r="195" spans="14:14" x14ac:dyDescent="0.3">
      <c r="N195" s="9"/>
    </row>
    <row r="196" spans="14:14" x14ac:dyDescent="0.3">
      <c r="N196" s="9"/>
    </row>
    <row r="197" spans="14:14" x14ac:dyDescent="0.3">
      <c r="N197" s="9"/>
    </row>
    <row r="198" spans="14:14" x14ac:dyDescent="0.3">
      <c r="N198" s="9"/>
    </row>
    <row r="199" spans="14:14" x14ac:dyDescent="0.3">
      <c r="N199" s="9"/>
    </row>
    <row r="200" spans="14:14" x14ac:dyDescent="0.3">
      <c r="N200" s="9"/>
    </row>
    <row r="201" spans="14:14" x14ac:dyDescent="0.3">
      <c r="N201" s="9"/>
    </row>
    <row r="202" spans="14:14" x14ac:dyDescent="0.3">
      <c r="N202" s="9"/>
    </row>
    <row r="203" spans="14:14" x14ac:dyDescent="0.3">
      <c r="N203" s="9"/>
    </row>
    <row r="204" spans="14:14" x14ac:dyDescent="0.3">
      <c r="N204" s="9"/>
    </row>
    <row r="205" spans="14:14" x14ac:dyDescent="0.3">
      <c r="N205" s="9"/>
    </row>
    <row r="206" spans="14:14" x14ac:dyDescent="0.3">
      <c r="N206" s="9"/>
    </row>
    <row r="207" spans="14:14" x14ac:dyDescent="0.3">
      <c r="N207" s="9"/>
    </row>
    <row r="208" spans="14:14" x14ac:dyDescent="0.3">
      <c r="N208" s="9"/>
    </row>
    <row r="209" spans="14:14" x14ac:dyDescent="0.3">
      <c r="N209" s="9"/>
    </row>
    <row r="210" spans="14:14" x14ac:dyDescent="0.3">
      <c r="N210" s="9"/>
    </row>
    <row r="211" spans="14:14" x14ac:dyDescent="0.3">
      <c r="N211" s="9"/>
    </row>
    <row r="212" spans="14:14" x14ac:dyDescent="0.3">
      <c r="N212" s="9"/>
    </row>
    <row r="213" spans="14:14" x14ac:dyDescent="0.3">
      <c r="N213" s="9"/>
    </row>
    <row r="214" spans="14:14" x14ac:dyDescent="0.3">
      <c r="N214" s="9"/>
    </row>
    <row r="215" spans="14:14" x14ac:dyDescent="0.3">
      <c r="N215" s="9"/>
    </row>
    <row r="216" spans="14:14" x14ac:dyDescent="0.3">
      <c r="N216" s="9"/>
    </row>
    <row r="217" spans="14:14" x14ac:dyDescent="0.3">
      <c r="N217" s="9"/>
    </row>
    <row r="218" spans="14:14" x14ac:dyDescent="0.3">
      <c r="N218" s="9"/>
    </row>
    <row r="219" spans="14:14" x14ac:dyDescent="0.3">
      <c r="N219" s="9"/>
    </row>
    <row r="220" spans="14:14" x14ac:dyDescent="0.3">
      <c r="N220" s="9"/>
    </row>
    <row r="221" spans="14:14" x14ac:dyDescent="0.3">
      <c r="N221" s="9"/>
    </row>
    <row r="222" spans="14:14" x14ac:dyDescent="0.3">
      <c r="N222" s="9"/>
    </row>
    <row r="223" spans="14:14" x14ac:dyDescent="0.3">
      <c r="N223" s="9"/>
    </row>
    <row r="224" spans="14:14" x14ac:dyDescent="0.3">
      <c r="N224" s="9"/>
    </row>
    <row r="225" spans="14:14" x14ac:dyDescent="0.3">
      <c r="N225" s="9"/>
    </row>
    <row r="226" spans="14:14" x14ac:dyDescent="0.3">
      <c r="N226" s="9"/>
    </row>
    <row r="227" spans="14:14" x14ac:dyDescent="0.3">
      <c r="N227" s="9"/>
    </row>
    <row r="228" spans="14:14" x14ac:dyDescent="0.3">
      <c r="N228" s="9"/>
    </row>
    <row r="229" spans="14:14" x14ac:dyDescent="0.3">
      <c r="N229" s="9"/>
    </row>
    <row r="230" spans="14:14" x14ac:dyDescent="0.3">
      <c r="N230" s="9"/>
    </row>
    <row r="231" spans="14:14" x14ac:dyDescent="0.3">
      <c r="N231" s="9"/>
    </row>
    <row r="232" spans="14:14" x14ac:dyDescent="0.3">
      <c r="N232" s="9"/>
    </row>
    <row r="233" spans="14:14" x14ac:dyDescent="0.3">
      <c r="N233" s="9"/>
    </row>
    <row r="234" spans="14:14" x14ac:dyDescent="0.3">
      <c r="N234" s="9"/>
    </row>
    <row r="235" spans="14:14" x14ac:dyDescent="0.3">
      <c r="N235" s="9"/>
    </row>
    <row r="236" spans="14:14" x14ac:dyDescent="0.3">
      <c r="N236" s="9"/>
    </row>
    <row r="237" spans="14:14" x14ac:dyDescent="0.3">
      <c r="N237" s="9"/>
    </row>
    <row r="238" spans="14:14" x14ac:dyDescent="0.3">
      <c r="N238" s="9"/>
    </row>
    <row r="239" spans="14:14" x14ac:dyDescent="0.3">
      <c r="N239" s="9"/>
    </row>
    <row r="240" spans="14:14" x14ac:dyDescent="0.3">
      <c r="N240" s="9"/>
    </row>
    <row r="241" spans="14:14" x14ac:dyDescent="0.3">
      <c r="N241" s="9"/>
    </row>
    <row r="242" spans="14:14" x14ac:dyDescent="0.3">
      <c r="N242" s="9"/>
    </row>
    <row r="243" spans="14:14" x14ac:dyDescent="0.3">
      <c r="N243" s="9"/>
    </row>
    <row r="244" spans="14:14" x14ac:dyDescent="0.3">
      <c r="N244" s="9"/>
    </row>
    <row r="245" spans="14:14" x14ac:dyDescent="0.3">
      <c r="N245" s="9"/>
    </row>
    <row r="246" spans="14:14" x14ac:dyDescent="0.3">
      <c r="N246" s="9"/>
    </row>
    <row r="247" spans="14:14" x14ac:dyDescent="0.3">
      <c r="N247" s="9"/>
    </row>
    <row r="248" spans="14:14" x14ac:dyDescent="0.3">
      <c r="N248" s="9"/>
    </row>
    <row r="249" spans="14:14" x14ac:dyDescent="0.3">
      <c r="N249" s="9"/>
    </row>
    <row r="250" spans="14:14" x14ac:dyDescent="0.3">
      <c r="N250" s="9"/>
    </row>
    <row r="251" spans="14:14" x14ac:dyDescent="0.3">
      <c r="N251" s="9"/>
    </row>
    <row r="252" spans="14:14" x14ac:dyDescent="0.3">
      <c r="N252" s="9"/>
    </row>
    <row r="253" spans="14:14" x14ac:dyDescent="0.3">
      <c r="N253" s="9"/>
    </row>
    <row r="254" spans="14:14" x14ac:dyDescent="0.3">
      <c r="N254" s="9"/>
    </row>
    <row r="255" spans="14:14" x14ac:dyDescent="0.3">
      <c r="N255" s="9"/>
    </row>
    <row r="256" spans="14:14" x14ac:dyDescent="0.3">
      <c r="N256" s="9"/>
    </row>
    <row r="257" spans="14:14" x14ac:dyDescent="0.3">
      <c r="N257" s="9"/>
    </row>
    <row r="258" spans="14:14" x14ac:dyDescent="0.3">
      <c r="N258" s="9"/>
    </row>
    <row r="259" spans="14:14" x14ac:dyDescent="0.3">
      <c r="N259" s="9"/>
    </row>
    <row r="260" spans="14:14" x14ac:dyDescent="0.3">
      <c r="N260" s="9"/>
    </row>
    <row r="261" spans="14:14" x14ac:dyDescent="0.3">
      <c r="N261" s="9"/>
    </row>
    <row r="262" spans="14:14" x14ac:dyDescent="0.3">
      <c r="N262" s="9"/>
    </row>
    <row r="263" spans="14:14" x14ac:dyDescent="0.3">
      <c r="N263" s="9"/>
    </row>
    <row r="264" spans="14:14" x14ac:dyDescent="0.3">
      <c r="N264" s="9"/>
    </row>
    <row r="265" spans="14:14" x14ac:dyDescent="0.3">
      <c r="N265" s="9"/>
    </row>
    <row r="266" spans="14:14" x14ac:dyDescent="0.3">
      <c r="N266" s="9"/>
    </row>
    <row r="267" spans="14:14" x14ac:dyDescent="0.3">
      <c r="N267" s="9"/>
    </row>
    <row r="268" spans="14:14" x14ac:dyDescent="0.3">
      <c r="N268" s="9"/>
    </row>
    <row r="269" spans="14:14" x14ac:dyDescent="0.3">
      <c r="N269" s="9"/>
    </row>
    <row r="270" spans="14:14" x14ac:dyDescent="0.3">
      <c r="N270" s="9"/>
    </row>
    <row r="271" spans="14:14" x14ac:dyDescent="0.3">
      <c r="N271" s="9"/>
    </row>
    <row r="272" spans="14:14" x14ac:dyDescent="0.3">
      <c r="N272" s="9"/>
    </row>
    <row r="273" spans="14:14" x14ac:dyDescent="0.3">
      <c r="N273" s="9"/>
    </row>
    <row r="274" spans="14:14" x14ac:dyDescent="0.3">
      <c r="N274" s="9"/>
    </row>
    <row r="275" spans="14:14" x14ac:dyDescent="0.3">
      <c r="N275" s="9"/>
    </row>
    <row r="276" spans="14:14" x14ac:dyDescent="0.3">
      <c r="N276" s="9"/>
    </row>
    <row r="277" spans="14:14" x14ac:dyDescent="0.3">
      <c r="N277" s="9"/>
    </row>
    <row r="278" spans="14:14" x14ac:dyDescent="0.3">
      <c r="N278" s="9"/>
    </row>
    <row r="279" spans="14:14" x14ac:dyDescent="0.3">
      <c r="N279" s="9"/>
    </row>
    <row r="280" spans="14:14" x14ac:dyDescent="0.3">
      <c r="N280" s="9"/>
    </row>
    <row r="281" spans="14:14" x14ac:dyDescent="0.3">
      <c r="N281" s="9"/>
    </row>
    <row r="282" spans="14:14" x14ac:dyDescent="0.3">
      <c r="N282" s="9"/>
    </row>
    <row r="283" spans="14:14" x14ac:dyDescent="0.3">
      <c r="N283" s="9"/>
    </row>
    <row r="284" spans="14:14" x14ac:dyDescent="0.3">
      <c r="N284" s="9"/>
    </row>
    <row r="285" spans="14:14" x14ac:dyDescent="0.3">
      <c r="N285" s="9"/>
    </row>
    <row r="286" spans="14:14" x14ac:dyDescent="0.3">
      <c r="N286" s="9"/>
    </row>
    <row r="287" spans="14:14" x14ac:dyDescent="0.3">
      <c r="N287" s="9"/>
    </row>
    <row r="288" spans="14:14" x14ac:dyDescent="0.3">
      <c r="N288" s="9"/>
    </row>
    <row r="289" spans="14:14" x14ac:dyDescent="0.3">
      <c r="N289" s="9"/>
    </row>
    <row r="290" spans="14:14" x14ac:dyDescent="0.3">
      <c r="N290" s="9"/>
    </row>
    <row r="291" spans="14:14" x14ac:dyDescent="0.3">
      <c r="N291" s="9"/>
    </row>
    <row r="292" spans="14:14" x14ac:dyDescent="0.3">
      <c r="N292" s="9"/>
    </row>
    <row r="293" spans="14:14" x14ac:dyDescent="0.3">
      <c r="N293" s="9"/>
    </row>
    <row r="294" spans="14:14" x14ac:dyDescent="0.3">
      <c r="N294" s="9"/>
    </row>
    <row r="295" spans="14:14" x14ac:dyDescent="0.3">
      <c r="N295" s="9"/>
    </row>
    <row r="296" spans="14:14" x14ac:dyDescent="0.3">
      <c r="N296" s="9"/>
    </row>
    <row r="297" spans="14:14" x14ac:dyDescent="0.3">
      <c r="N297" s="9"/>
    </row>
    <row r="298" spans="14:14" x14ac:dyDescent="0.3">
      <c r="N298" s="9"/>
    </row>
    <row r="299" spans="14:14" x14ac:dyDescent="0.3">
      <c r="N299" s="9"/>
    </row>
    <row r="300" spans="14:14" x14ac:dyDescent="0.3">
      <c r="N300" s="9"/>
    </row>
    <row r="301" spans="14:14" x14ac:dyDescent="0.3">
      <c r="N301" s="9"/>
    </row>
    <row r="302" spans="14:14" x14ac:dyDescent="0.3">
      <c r="N302" s="9"/>
    </row>
    <row r="303" spans="14:14" x14ac:dyDescent="0.3">
      <c r="N303" s="9"/>
    </row>
    <row r="304" spans="14:14" x14ac:dyDescent="0.3">
      <c r="N304" s="9"/>
    </row>
    <row r="305" spans="14:14" x14ac:dyDescent="0.3">
      <c r="N305" s="9"/>
    </row>
    <row r="306" spans="14:14" x14ac:dyDescent="0.3">
      <c r="N306" s="9"/>
    </row>
    <row r="307" spans="14:14" x14ac:dyDescent="0.3">
      <c r="N307" s="9"/>
    </row>
    <row r="308" spans="14:14" x14ac:dyDescent="0.3">
      <c r="N308" s="9"/>
    </row>
    <row r="309" spans="14:14" x14ac:dyDescent="0.3">
      <c r="N309" s="9"/>
    </row>
    <row r="310" spans="14:14" x14ac:dyDescent="0.3">
      <c r="N310" s="9"/>
    </row>
    <row r="311" spans="14:14" x14ac:dyDescent="0.3">
      <c r="N311" s="9"/>
    </row>
    <row r="312" spans="14:14" x14ac:dyDescent="0.3">
      <c r="N312" s="9"/>
    </row>
    <row r="313" spans="14:14" x14ac:dyDescent="0.3">
      <c r="N313" s="9"/>
    </row>
    <row r="314" spans="14:14" x14ac:dyDescent="0.3">
      <c r="N314" s="9"/>
    </row>
    <row r="315" spans="14:14" x14ac:dyDescent="0.3">
      <c r="N315" s="9"/>
    </row>
    <row r="316" spans="14:14" x14ac:dyDescent="0.3">
      <c r="N316" s="9"/>
    </row>
    <row r="317" spans="14:14" x14ac:dyDescent="0.3">
      <c r="N317" s="9"/>
    </row>
    <row r="318" spans="14:14" x14ac:dyDescent="0.3">
      <c r="N318" s="9"/>
    </row>
    <row r="319" spans="14:14" x14ac:dyDescent="0.3">
      <c r="N319" s="9"/>
    </row>
    <row r="320" spans="14:14" x14ac:dyDescent="0.3">
      <c r="N320" s="9"/>
    </row>
    <row r="321" spans="14:14" x14ac:dyDescent="0.3">
      <c r="N321" s="9"/>
    </row>
    <row r="322" spans="14:14" x14ac:dyDescent="0.3">
      <c r="N322" s="9"/>
    </row>
    <row r="323" spans="14:14" x14ac:dyDescent="0.3">
      <c r="N323" s="9"/>
    </row>
    <row r="324" spans="14:14" x14ac:dyDescent="0.3">
      <c r="N324" s="9"/>
    </row>
    <row r="325" spans="14:14" x14ac:dyDescent="0.3">
      <c r="N325" s="9"/>
    </row>
    <row r="326" spans="14:14" x14ac:dyDescent="0.3">
      <c r="N326" s="9"/>
    </row>
    <row r="327" spans="14:14" x14ac:dyDescent="0.3">
      <c r="N327" s="9"/>
    </row>
    <row r="328" spans="14:14" x14ac:dyDescent="0.3">
      <c r="N328" s="9"/>
    </row>
    <row r="329" spans="14:14" x14ac:dyDescent="0.3">
      <c r="N329" s="9"/>
    </row>
    <row r="330" spans="14:14" x14ac:dyDescent="0.3">
      <c r="N330" s="9"/>
    </row>
    <row r="331" spans="14:14" x14ac:dyDescent="0.3">
      <c r="N331" s="9"/>
    </row>
    <row r="332" spans="14:14" x14ac:dyDescent="0.3">
      <c r="N332" s="9"/>
    </row>
    <row r="333" spans="14:14" x14ac:dyDescent="0.3">
      <c r="N333" s="9"/>
    </row>
    <row r="334" spans="14:14" x14ac:dyDescent="0.3">
      <c r="N334" s="9"/>
    </row>
    <row r="335" spans="14:14" x14ac:dyDescent="0.3">
      <c r="N335" s="9"/>
    </row>
    <row r="336" spans="14:14" x14ac:dyDescent="0.3">
      <c r="N336" s="9"/>
    </row>
    <row r="337" spans="14:14" x14ac:dyDescent="0.3">
      <c r="N337" s="9"/>
    </row>
    <row r="338" spans="14:14" x14ac:dyDescent="0.3">
      <c r="N338" s="9"/>
    </row>
    <row r="339" spans="14:14" x14ac:dyDescent="0.3">
      <c r="N339" s="9"/>
    </row>
    <row r="340" spans="14:14" x14ac:dyDescent="0.3">
      <c r="N340" s="9"/>
    </row>
    <row r="341" spans="14:14" x14ac:dyDescent="0.3">
      <c r="N341" s="9"/>
    </row>
    <row r="342" spans="14:14" x14ac:dyDescent="0.3">
      <c r="N342" s="9"/>
    </row>
    <row r="343" spans="14:14" x14ac:dyDescent="0.3">
      <c r="N343" s="9"/>
    </row>
    <row r="344" spans="14:14" x14ac:dyDescent="0.3">
      <c r="N344" s="9"/>
    </row>
    <row r="345" spans="14:14" x14ac:dyDescent="0.3">
      <c r="N345" s="9"/>
    </row>
    <row r="346" spans="14:14" x14ac:dyDescent="0.3">
      <c r="N346" s="9"/>
    </row>
    <row r="347" spans="14:14" x14ac:dyDescent="0.3">
      <c r="N347" s="9"/>
    </row>
    <row r="348" spans="14:14" x14ac:dyDescent="0.3">
      <c r="N348" s="9"/>
    </row>
    <row r="349" spans="14:14" x14ac:dyDescent="0.3">
      <c r="N349" s="9"/>
    </row>
    <row r="350" spans="14:14" x14ac:dyDescent="0.3">
      <c r="N350" s="9"/>
    </row>
    <row r="351" spans="14:14" x14ac:dyDescent="0.3">
      <c r="N351" s="9"/>
    </row>
    <row r="352" spans="14:14" x14ac:dyDescent="0.3">
      <c r="N352" s="9"/>
    </row>
    <row r="353" spans="14:14" x14ac:dyDescent="0.3">
      <c r="N353" s="9"/>
    </row>
    <row r="354" spans="14:14" x14ac:dyDescent="0.3">
      <c r="N354" s="9"/>
    </row>
    <row r="355" spans="14:14" x14ac:dyDescent="0.3">
      <c r="N355" s="9"/>
    </row>
    <row r="356" spans="14:14" x14ac:dyDescent="0.3">
      <c r="N356" s="9"/>
    </row>
    <row r="357" spans="14:14" x14ac:dyDescent="0.3">
      <c r="N357" s="9"/>
    </row>
    <row r="358" spans="14:14" x14ac:dyDescent="0.3">
      <c r="N358" s="9"/>
    </row>
    <row r="359" spans="14:14" x14ac:dyDescent="0.3">
      <c r="N359" s="9"/>
    </row>
    <row r="360" spans="14:14" x14ac:dyDescent="0.3">
      <c r="N360" s="9"/>
    </row>
    <row r="361" spans="14:14" x14ac:dyDescent="0.3">
      <c r="N361" s="9"/>
    </row>
    <row r="362" spans="14:14" x14ac:dyDescent="0.3">
      <c r="N362" s="9"/>
    </row>
    <row r="363" spans="14:14" x14ac:dyDescent="0.3">
      <c r="N363" s="9"/>
    </row>
    <row r="364" spans="14:14" x14ac:dyDescent="0.3">
      <c r="N364" s="9"/>
    </row>
    <row r="365" spans="14:14" x14ac:dyDescent="0.3">
      <c r="N365" s="9"/>
    </row>
    <row r="366" spans="14:14" x14ac:dyDescent="0.3">
      <c r="N366" s="9"/>
    </row>
    <row r="367" spans="14:14" x14ac:dyDescent="0.3">
      <c r="N367" s="9"/>
    </row>
    <row r="368" spans="14:14" x14ac:dyDescent="0.3">
      <c r="N368" s="9"/>
    </row>
    <row r="369" spans="14:14" x14ac:dyDescent="0.3">
      <c r="N369" s="9"/>
    </row>
    <row r="370" spans="14:14" x14ac:dyDescent="0.3">
      <c r="N370" s="9"/>
    </row>
    <row r="371" spans="14:14" x14ac:dyDescent="0.3">
      <c r="N371" s="9"/>
    </row>
    <row r="372" spans="14:14" x14ac:dyDescent="0.3">
      <c r="N372" s="9"/>
    </row>
    <row r="373" spans="14:14" x14ac:dyDescent="0.3">
      <c r="N373" s="9"/>
    </row>
    <row r="374" spans="14:14" x14ac:dyDescent="0.3">
      <c r="N374" s="9"/>
    </row>
    <row r="375" spans="14:14" x14ac:dyDescent="0.3">
      <c r="N375" s="9"/>
    </row>
    <row r="376" spans="14:14" x14ac:dyDescent="0.3">
      <c r="N376" s="9"/>
    </row>
    <row r="377" spans="14:14" x14ac:dyDescent="0.3">
      <c r="N377" s="9"/>
    </row>
    <row r="378" spans="14:14" x14ac:dyDescent="0.3">
      <c r="N378" s="9"/>
    </row>
    <row r="379" spans="14:14" x14ac:dyDescent="0.3">
      <c r="N379" s="9"/>
    </row>
    <row r="380" spans="14:14" x14ac:dyDescent="0.3">
      <c r="N380" s="9"/>
    </row>
    <row r="381" spans="14:14" x14ac:dyDescent="0.3">
      <c r="N381" s="9"/>
    </row>
    <row r="382" spans="14:14" x14ac:dyDescent="0.3">
      <c r="N382" s="9"/>
    </row>
    <row r="383" spans="14:14" x14ac:dyDescent="0.3">
      <c r="N383" s="9"/>
    </row>
    <row r="384" spans="14:14" x14ac:dyDescent="0.3">
      <c r="N384" s="9"/>
    </row>
    <row r="385" spans="14:14" x14ac:dyDescent="0.3">
      <c r="N385" s="9"/>
    </row>
    <row r="386" spans="14:14" x14ac:dyDescent="0.3">
      <c r="N386" s="9"/>
    </row>
    <row r="387" spans="14:14" x14ac:dyDescent="0.3">
      <c r="N387" s="9"/>
    </row>
    <row r="388" spans="14:14" x14ac:dyDescent="0.3">
      <c r="N388" s="9"/>
    </row>
    <row r="389" spans="14:14" x14ac:dyDescent="0.3">
      <c r="N389" s="9"/>
    </row>
    <row r="390" spans="14:14" x14ac:dyDescent="0.3">
      <c r="N390" s="9"/>
    </row>
    <row r="391" spans="14:14" x14ac:dyDescent="0.3">
      <c r="N391" s="9"/>
    </row>
    <row r="392" spans="14:14" x14ac:dyDescent="0.3">
      <c r="N392" s="9"/>
    </row>
    <row r="393" spans="14:14" x14ac:dyDescent="0.3">
      <c r="N393" s="9"/>
    </row>
    <row r="394" spans="14:14" x14ac:dyDescent="0.3">
      <c r="N394" s="9"/>
    </row>
    <row r="395" spans="14:14" x14ac:dyDescent="0.3">
      <c r="N395" s="9"/>
    </row>
    <row r="396" spans="14:14" x14ac:dyDescent="0.3">
      <c r="N396" s="9"/>
    </row>
    <row r="397" spans="14:14" x14ac:dyDescent="0.3">
      <c r="N397" s="9"/>
    </row>
    <row r="398" spans="14:14" x14ac:dyDescent="0.3">
      <c r="N398" s="9"/>
    </row>
    <row r="399" spans="14:14" x14ac:dyDescent="0.3">
      <c r="N399" s="9"/>
    </row>
    <row r="400" spans="14:14" x14ac:dyDescent="0.3">
      <c r="N400" s="9"/>
    </row>
    <row r="401" spans="14:14" x14ac:dyDescent="0.3">
      <c r="N401" s="9"/>
    </row>
    <row r="402" spans="14:14" x14ac:dyDescent="0.3">
      <c r="N402" s="9"/>
    </row>
    <row r="403" spans="14:14" x14ac:dyDescent="0.3">
      <c r="N403" s="9"/>
    </row>
    <row r="404" spans="14:14" x14ac:dyDescent="0.3">
      <c r="N404" s="9"/>
    </row>
    <row r="405" spans="14:14" x14ac:dyDescent="0.3">
      <c r="N405" s="9"/>
    </row>
    <row r="406" spans="14:14" x14ac:dyDescent="0.3">
      <c r="N406" s="9"/>
    </row>
    <row r="407" spans="14:14" x14ac:dyDescent="0.3">
      <c r="N407" s="9"/>
    </row>
    <row r="408" spans="14:14" x14ac:dyDescent="0.3">
      <c r="N408" s="9"/>
    </row>
    <row r="409" spans="14:14" x14ac:dyDescent="0.3">
      <c r="N409" s="9"/>
    </row>
    <row r="410" spans="14:14" x14ac:dyDescent="0.3">
      <c r="N410" s="9"/>
    </row>
    <row r="411" spans="14:14" x14ac:dyDescent="0.3">
      <c r="N411" s="9"/>
    </row>
    <row r="412" spans="14:14" x14ac:dyDescent="0.3">
      <c r="N412" s="9"/>
    </row>
    <row r="413" spans="14:14" x14ac:dyDescent="0.3">
      <c r="N413" s="9"/>
    </row>
    <row r="414" spans="14:14" x14ac:dyDescent="0.3">
      <c r="N414" s="9"/>
    </row>
    <row r="415" spans="14:14" x14ac:dyDescent="0.3">
      <c r="N415" s="9"/>
    </row>
    <row r="416" spans="14:14" x14ac:dyDescent="0.3">
      <c r="N416" s="9"/>
    </row>
    <row r="417" spans="14:14" x14ac:dyDescent="0.3">
      <c r="N417" s="9"/>
    </row>
    <row r="418" spans="14:14" x14ac:dyDescent="0.3">
      <c r="N418" s="9"/>
    </row>
    <row r="419" spans="14:14" x14ac:dyDescent="0.3">
      <c r="N419" s="9"/>
    </row>
    <row r="420" spans="14:14" x14ac:dyDescent="0.3">
      <c r="N420" s="9"/>
    </row>
    <row r="421" spans="14:14" x14ac:dyDescent="0.3">
      <c r="N421" s="9"/>
    </row>
    <row r="422" spans="14:14" x14ac:dyDescent="0.3">
      <c r="N422" s="9"/>
    </row>
    <row r="423" spans="14:14" x14ac:dyDescent="0.3">
      <c r="N423" s="9"/>
    </row>
    <row r="424" spans="14:14" x14ac:dyDescent="0.3">
      <c r="N424" s="9"/>
    </row>
    <row r="425" spans="14:14" x14ac:dyDescent="0.3">
      <c r="N425" s="9"/>
    </row>
    <row r="426" spans="14:14" x14ac:dyDescent="0.3">
      <c r="N426" s="9"/>
    </row>
    <row r="427" spans="14:14" x14ac:dyDescent="0.3">
      <c r="N427" s="9"/>
    </row>
    <row r="428" spans="14:14" x14ac:dyDescent="0.3">
      <c r="N428" s="9"/>
    </row>
    <row r="429" spans="14:14" x14ac:dyDescent="0.3">
      <c r="N429" s="9"/>
    </row>
    <row r="430" spans="14:14" x14ac:dyDescent="0.3">
      <c r="N430" s="9"/>
    </row>
    <row r="431" spans="14:14" x14ac:dyDescent="0.3">
      <c r="N431" s="9"/>
    </row>
    <row r="432" spans="14:14" x14ac:dyDescent="0.3">
      <c r="N432" s="9"/>
    </row>
    <row r="433" spans="14:14" x14ac:dyDescent="0.3">
      <c r="N433" s="9"/>
    </row>
    <row r="434" spans="14:14" x14ac:dyDescent="0.3">
      <c r="N434" s="9"/>
    </row>
    <row r="435" spans="14:14" x14ac:dyDescent="0.3">
      <c r="N435" s="9"/>
    </row>
    <row r="436" spans="14:14" x14ac:dyDescent="0.3">
      <c r="N436" s="9"/>
    </row>
    <row r="437" spans="14:14" x14ac:dyDescent="0.3">
      <c r="N437" s="9"/>
    </row>
    <row r="438" spans="14:14" x14ac:dyDescent="0.3">
      <c r="N438" s="9"/>
    </row>
    <row r="439" spans="14:14" x14ac:dyDescent="0.3">
      <c r="N439" s="9"/>
    </row>
    <row r="440" spans="14:14" x14ac:dyDescent="0.3">
      <c r="N440" s="9"/>
    </row>
    <row r="441" spans="14:14" x14ac:dyDescent="0.3">
      <c r="N441" s="9"/>
    </row>
    <row r="442" spans="14:14" x14ac:dyDescent="0.3">
      <c r="N442" s="9"/>
    </row>
    <row r="443" spans="14:14" x14ac:dyDescent="0.3">
      <c r="N443" s="9"/>
    </row>
    <row r="444" spans="14:14" x14ac:dyDescent="0.3">
      <c r="N444" s="9"/>
    </row>
    <row r="445" spans="14:14" x14ac:dyDescent="0.3">
      <c r="N445" s="9"/>
    </row>
    <row r="446" spans="14:14" x14ac:dyDescent="0.3">
      <c r="N446" s="9"/>
    </row>
    <row r="447" spans="14:14" x14ac:dyDescent="0.3">
      <c r="N447" s="9"/>
    </row>
    <row r="448" spans="14:14" x14ac:dyDescent="0.3">
      <c r="N448" s="9"/>
    </row>
    <row r="449" spans="14:14" x14ac:dyDescent="0.3">
      <c r="N449" s="9"/>
    </row>
    <row r="450" spans="14:14" x14ac:dyDescent="0.3">
      <c r="N450" s="9"/>
    </row>
    <row r="451" spans="14:14" x14ac:dyDescent="0.3">
      <c r="N451" s="9"/>
    </row>
    <row r="452" spans="14:14" x14ac:dyDescent="0.3">
      <c r="N452" s="9"/>
    </row>
    <row r="453" spans="14:14" x14ac:dyDescent="0.3">
      <c r="N453" s="9"/>
    </row>
    <row r="454" spans="14:14" x14ac:dyDescent="0.3">
      <c r="N454" s="9"/>
    </row>
    <row r="455" spans="14:14" x14ac:dyDescent="0.3">
      <c r="N455" s="9"/>
    </row>
    <row r="456" spans="14:14" x14ac:dyDescent="0.3">
      <c r="N456" s="9"/>
    </row>
    <row r="457" spans="14:14" x14ac:dyDescent="0.3">
      <c r="N457" s="9"/>
    </row>
    <row r="458" spans="14:14" x14ac:dyDescent="0.3">
      <c r="N458" s="9"/>
    </row>
    <row r="459" spans="14:14" x14ac:dyDescent="0.3">
      <c r="N459" s="9"/>
    </row>
    <row r="460" spans="14:14" x14ac:dyDescent="0.3">
      <c r="N460" s="9"/>
    </row>
    <row r="461" spans="14:14" x14ac:dyDescent="0.3">
      <c r="N461" s="9"/>
    </row>
    <row r="462" spans="14:14" x14ac:dyDescent="0.3">
      <c r="N462" s="9"/>
    </row>
    <row r="463" spans="14:14" x14ac:dyDescent="0.3">
      <c r="N463" s="9"/>
    </row>
    <row r="464" spans="14:14" x14ac:dyDescent="0.3">
      <c r="N464" s="9"/>
    </row>
    <row r="465" spans="14:14" x14ac:dyDescent="0.3">
      <c r="N465" s="9"/>
    </row>
    <row r="466" spans="14:14" x14ac:dyDescent="0.3">
      <c r="N466" s="9"/>
    </row>
    <row r="467" spans="14:14" x14ac:dyDescent="0.3">
      <c r="N467" s="9"/>
    </row>
    <row r="468" spans="14:14" x14ac:dyDescent="0.3">
      <c r="N468" s="9"/>
    </row>
    <row r="469" spans="14:14" x14ac:dyDescent="0.3">
      <c r="N469" s="9"/>
    </row>
    <row r="470" spans="14:14" x14ac:dyDescent="0.3">
      <c r="N470" s="9"/>
    </row>
    <row r="471" spans="14:14" x14ac:dyDescent="0.3">
      <c r="N471" s="9"/>
    </row>
    <row r="472" spans="14:14" x14ac:dyDescent="0.3">
      <c r="N472" s="9"/>
    </row>
    <row r="473" spans="14:14" x14ac:dyDescent="0.3">
      <c r="N473" s="9"/>
    </row>
    <row r="474" spans="14:14" x14ac:dyDescent="0.3">
      <c r="N474" s="9"/>
    </row>
    <row r="475" spans="14:14" x14ac:dyDescent="0.3">
      <c r="N475" s="9"/>
    </row>
    <row r="476" spans="14:14" x14ac:dyDescent="0.3">
      <c r="N476" s="9"/>
    </row>
    <row r="477" spans="14:14" x14ac:dyDescent="0.3">
      <c r="N477" s="9"/>
    </row>
    <row r="478" spans="14:14" x14ac:dyDescent="0.3">
      <c r="N478" s="9"/>
    </row>
    <row r="479" spans="14:14" x14ac:dyDescent="0.3">
      <c r="N479" s="9"/>
    </row>
    <row r="480" spans="14:14" x14ac:dyDescent="0.3">
      <c r="N480" s="9"/>
    </row>
    <row r="481" spans="14:14" x14ac:dyDescent="0.3">
      <c r="N481" s="9"/>
    </row>
    <row r="482" spans="14:14" x14ac:dyDescent="0.3">
      <c r="N482" s="9"/>
    </row>
    <row r="483" spans="14:14" x14ac:dyDescent="0.3">
      <c r="N483" s="9"/>
    </row>
    <row r="484" spans="14:14" x14ac:dyDescent="0.3">
      <c r="N484" s="9"/>
    </row>
    <row r="485" spans="14:14" x14ac:dyDescent="0.3">
      <c r="N485" s="9"/>
    </row>
    <row r="486" spans="14:14" x14ac:dyDescent="0.3">
      <c r="N486" s="9"/>
    </row>
    <row r="487" spans="14:14" x14ac:dyDescent="0.3">
      <c r="N487" s="9"/>
    </row>
    <row r="488" spans="14:14" x14ac:dyDescent="0.3">
      <c r="N488" s="9"/>
    </row>
    <row r="489" spans="14:14" x14ac:dyDescent="0.3">
      <c r="N489" s="9"/>
    </row>
    <row r="490" spans="14:14" x14ac:dyDescent="0.3">
      <c r="N490" s="9"/>
    </row>
    <row r="491" spans="14:14" x14ac:dyDescent="0.3">
      <c r="N491" s="9"/>
    </row>
    <row r="492" spans="14:14" x14ac:dyDescent="0.3">
      <c r="N492" s="9"/>
    </row>
    <row r="493" spans="14:14" x14ac:dyDescent="0.3">
      <c r="N493" s="9"/>
    </row>
    <row r="494" spans="14:14" x14ac:dyDescent="0.3">
      <c r="N494" s="9"/>
    </row>
    <row r="495" spans="14:14" x14ac:dyDescent="0.3">
      <c r="N495" s="9"/>
    </row>
    <row r="496" spans="14:14" x14ac:dyDescent="0.3">
      <c r="N496" s="9"/>
    </row>
    <row r="497" spans="14:14" x14ac:dyDescent="0.3">
      <c r="N497" s="9"/>
    </row>
    <row r="498" spans="14:14" x14ac:dyDescent="0.3">
      <c r="N498" s="9"/>
    </row>
    <row r="499" spans="14:14" x14ac:dyDescent="0.3">
      <c r="N499" s="9"/>
    </row>
    <row r="500" spans="14:14" x14ac:dyDescent="0.3">
      <c r="N500" s="9"/>
    </row>
    <row r="501" spans="14:14" x14ac:dyDescent="0.3">
      <c r="N501" s="9"/>
    </row>
    <row r="502" spans="14:14" x14ac:dyDescent="0.3">
      <c r="N502" s="9"/>
    </row>
    <row r="503" spans="14:14" x14ac:dyDescent="0.3">
      <c r="N503" s="9"/>
    </row>
    <row r="504" spans="14:14" x14ac:dyDescent="0.3">
      <c r="N504" s="9"/>
    </row>
    <row r="505" spans="14:14" x14ac:dyDescent="0.3">
      <c r="N505" s="9"/>
    </row>
    <row r="506" spans="14:14" x14ac:dyDescent="0.3">
      <c r="N506" s="9"/>
    </row>
    <row r="507" spans="14:14" x14ac:dyDescent="0.3">
      <c r="N507" s="9"/>
    </row>
    <row r="508" spans="14:14" x14ac:dyDescent="0.3">
      <c r="N508" s="9"/>
    </row>
    <row r="509" spans="14:14" x14ac:dyDescent="0.3">
      <c r="N509" s="9"/>
    </row>
    <row r="510" spans="14:14" x14ac:dyDescent="0.3">
      <c r="N510" s="9"/>
    </row>
    <row r="511" spans="14:14" x14ac:dyDescent="0.3">
      <c r="N511" s="9"/>
    </row>
    <row r="512" spans="14:14" x14ac:dyDescent="0.3">
      <c r="N512" s="9"/>
    </row>
    <row r="513" spans="14:14" x14ac:dyDescent="0.3">
      <c r="N513" s="9"/>
    </row>
    <row r="514" spans="14:14" x14ac:dyDescent="0.3">
      <c r="N514" s="9"/>
    </row>
    <row r="515" spans="14:14" x14ac:dyDescent="0.3">
      <c r="N515" s="9"/>
    </row>
    <row r="516" spans="14:14" x14ac:dyDescent="0.3">
      <c r="N516" s="9"/>
    </row>
    <row r="517" spans="14:14" x14ac:dyDescent="0.3">
      <c r="N517" s="9"/>
    </row>
    <row r="518" spans="14:14" x14ac:dyDescent="0.3">
      <c r="N518" s="9"/>
    </row>
    <row r="519" spans="14:14" x14ac:dyDescent="0.3">
      <c r="N519" s="9"/>
    </row>
    <row r="520" spans="14:14" x14ac:dyDescent="0.3">
      <c r="N520" s="9"/>
    </row>
    <row r="521" spans="14:14" x14ac:dyDescent="0.3">
      <c r="N521" s="9"/>
    </row>
    <row r="522" spans="14:14" x14ac:dyDescent="0.3">
      <c r="N522" s="9"/>
    </row>
    <row r="523" spans="14:14" x14ac:dyDescent="0.3">
      <c r="N523" s="9"/>
    </row>
    <row r="524" spans="14:14" x14ac:dyDescent="0.3">
      <c r="N524" s="9"/>
    </row>
    <row r="525" spans="14:14" x14ac:dyDescent="0.3">
      <c r="N525" s="9"/>
    </row>
    <row r="526" spans="14:14" x14ac:dyDescent="0.3">
      <c r="N526" s="9"/>
    </row>
    <row r="527" spans="14:14" x14ac:dyDescent="0.3">
      <c r="N527" s="9"/>
    </row>
    <row r="528" spans="14:14" x14ac:dyDescent="0.3">
      <c r="N528" s="9"/>
    </row>
    <row r="529" spans="14:14" x14ac:dyDescent="0.3">
      <c r="N529" s="9"/>
    </row>
    <row r="530" spans="14:14" x14ac:dyDescent="0.3">
      <c r="N530" s="9"/>
    </row>
    <row r="531" spans="14:14" x14ac:dyDescent="0.3">
      <c r="N531" s="9"/>
    </row>
    <row r="532" spans="14:14" x14ac:dyDescent="0.3">
      <c r="N532" s="9"/>
    </row>
    <row r="533" spans="14:14" x14ac:dyDescent="0.3">
      <c r="N533" s="9"/>
    </row>
    <row r="534" spans="14:14" x14ac:dyDescent="0.3">
      <c r="N534" s="9"/>
    </row>
    <row r="535" spans="14:14" x14ac:dyDescent="0.3">
      <c r="N535" s="9"/>
    </row>
    <row r="536" spans="14:14" x14ac:dyDescent="0.3">
      <c r="N536" s="9"/>
    </row>
    <row r="537" spans="14:14" x14ac:dyDescent="0.3">
      <c r="N537" s="9"/>
    </row>
    <row r="538" spans="14:14" x14ac:dyDescent="0.3">
      <c r="N538" s="9"/>
    </row>
    <row r="539" spans="14:14" x14ac:dyDescent="0.3">
      <c r="N539" s="9"/>
    </row>
    <row r="540" spans="14:14" x14ac:dyDescent="0.3">
      <c r="N540" s="9"/>
    </row>
    <row r="541" spans="14:14" x14ac:dyDescent="0.3">
      <c r="N541" s="9"/>
    </row>
    <row r="542" spans="14:14" x14ac:dyDescent="0.3">
      <c r="N542" s="9"/>
    </row>
    <row r="543" spans="14:14" x14ac:dyDescent="0.3">
      <c r="N543" s="9"/>
    </row>
    <row r="544" spans="14:14" x14ac:dyDescent="0.3">
      <c r="N544" s="9"/>
    </row>
    <row r="545" spans="14:14" x14ac:dyDescent="0.3">
      <c r="N545" s="9"/>
    </row>
    <row r="546" spans="14:14" x14ac:dyDescent="0.3">
      <c r="N546" s="9"/>
    </row>
    <row r="547" spans="14:14" x14ac:dyDescent="0.3">
      <c r="N547" s="9"/>
    </row>
    <row r="548" spans="14:14" x14ac:dyDescent="0.3">
      <c r="N548" s="9"/>
    </row>
    <row r="549" spans="14:14" x14ac:dyDescent="0.3">
      <c r="N549" s="9"/>
    </row>
    <row r="550" spans="14:14" x14ac:dyDescent="0.3">
      <c r="N550" s="9"/>
    </row>
    <row r="551" spans="14:14" x14ac:dyDescent="0.3">
      <c r="N551" s="9"/>
    </row>
    <row r="552" spans="14:14" x14ac:dyDescent="0.3">
      <c r="N552" s="9"/>
    </row>
    <row r="553" spans="14:14" x14ac:dyDescent="0.3">
      <c r="N553" s="9"/>
    </row>
    <row r="554" spans="14:14" x14ac:dyDescent="0.3">
      <c r="N554" s="9"/>
    </row>
    <row r="555" spans="14:14" x14ac:dyDescent="0.3">
      <c r="N555" s="9"/>
    </row>
    <row r="556" spans="14:14" x14ac:dyDescent="0.3">
      <c r="N556" s="9"/>
    </row>
    <row r="557" spans="14:14" x14ac:dyDescent="0.3">
      <c r="N557" s="9"/>
    </row>
    <row r="558" spans="14:14" x14ac:dyDescent="0.3">
      <c r="N558" s="9"/>
    </row>
    <row r="559" spans="14:14" x14ac:dyDescent="0.3">
      <c r="N559" s="9"/>
    </row>
    <row r="560" spans="14:14" x14ac:dyDescent="0.3">
      <c r="N560" s="9"/>
    </row>
    <row r="561" spans="14:14" x14ac:dyDescent="0.3">
      <c r="N561" s="9"/>
    </row>
    <row r="562" spans="14:14" x14ac:dyDescent="0.3">
      <c r="N562" s="9"/>
    </row>
    <row r="563" spans="14:14" x14ac:dyDescent="0.3">
      <c r="N563" s="9"/>
    </row>
    <row r="564" spans="14:14" x14ac:dyDescent="0.3">
      <c r="N564" s="9"/>
    </row>
    <row r="565" spans="14:14" x14ac:dyDescent="0.3">
      <c r="N565" s="9"/>
    </row>
    <row r="566" spans="14:14" x14ac:dyDescent="0.3">
      <c r="N566" s="9"/>
    </row>
    <row r="567" spans="14:14" x14ac:dyDescent="0.3">
      <c r="N567" s="9"/>
    </row>
    <row r="568" spans="14:14" x14ac:dyDescent="0.3">
      <c r="N568" s="9"/>
    </row>
    <row r="569" spans="14:14" x14ac:dyDescent="0.3">
      <c r="N569" s="9"/>
    </row>
    <row r="570" spans="14:14" x14ac:dyDescent="0.3">
      <c r="N570" s="9"/>
    </row>
    <row r="571" spans="14:14" x14ac:dyDescent="0.3">
      <c r="N571" s="9"/>
    </row>
    <row r="572" spans="14:14" x14ac:dyDescent="0.3">
      <c r="N572" s="9"/>
    </row>
    <row r="573" spans="14:14" x14ac:dyDescent="0.3">
      <c r="N573" s="9"/>
    </row>
    <row r="574" spans="14:14" x14ac:dyDescent="0.3">
      <c r="N574" s="9"/>
    </row>
    <row r="575" spans="14:14" x14ac:dyDescent="0.3">
      <c r="N575" s="9"/>
    </row>
    <row r="576" spans="14:14" x14ac:dyDescent="0.3">
      <c r="N576" s="9"/>
    </row>
    <row r="577" spans="14:14" x14ac:dyDescent="0.3">
      <c r="N577" s="9"/>
    </row>
    <row r="578" spans="14:14" x14ac:dyDescent="0.3">
      <c r="N578" s="9"/>
    </row>
    <row r="579" spans="14:14" x14ac:dyDescent="0.3">
      <c r="N579" s="9"/>
    </row>
    <row r="580" spans="14:14" x14ac:dyDescent="0.3">
      <c r="N580" s="9"/>
    </row>
    <row r="581" spans="14:14" x14ac:dyDescent="0.3">
      <c r="N581" s="9"/>
    </row>
    <row r="582" spans="14:14" x14ac:dyDescent="0.3">
      <c r="N582" s="9"/>
    </row>
    <row r="583" spans="14:14" x14ac:dyDescent="0.3">
      <c r="N583" s="9"/>
    </row>
    <row r="584" spans="14:14" x14ac:dyDescent="0.3">
      <c r="N584" s="9"/>
    </row>
    <row r="585" spans="14:14" x14ac:dyDescent="0.3">
      <c r="N585" s="9"/>
    </row>
    <row r="586" spans="14:14" x14ac:dyDescent="0.3">
      <c r="N586" s="9"/>
    </row>
    <row r="587" spans="14:14" x14ac:dyDescent="0.3">
      <c r="N587" s="9"/>
    </row>
    <row r="588" spans="14:14" x14ac:dyDescent="0.3">
      <c r="N588" s="9"/>
    </row>
    <row r="589" spans="14:14" x14ac:dyDescent="0.3">
      <c r="N589" s="9"/>
    </row>
    <row r="590" spans="14:14" x14ac:dyDescent="0.3">
      <c r="N590" s="9"/>
    </row>
    <row r="591" spans="14:14" x14ac:dyDescent="0.3">
      <c r="N591" s="9"/>
    </row>
    <row r="592" spans="14:14" x14ac:dyDescent="0.3">
      <c r="N592" s="9"/>
    </row>
    <row r="593" spans="14:14" x14ac:dyDescent="0.3">
      <c r="N593" s="9"/>
    </row>
    <row r="594" spans="14:14" x14ac:dyDescent="0.3">
      <c r="N594" s="9"/>
    </row>
    <row r="595" spans="14:14" x14ac:dyDescent="0.3">
      <c r="N595" s="9"/>
    </row>
    <row r="596" spans="14:14" x14ac:dyDescent="0.3">
      <c r="N596" s="9"/>
    </row>
    <row r="597" spans="14:14" x14ac:dyDescent="0.3">
      <c r="N597" s="9"/>
    </row>
    <row r="598" spans="14:14" x14ac:dyDescent="0.3">
      <c r="N598" s="9"/>
    </row>
    <row r="599" spans="14:14" x14ac:dyDescent="0.3">
      <c r="N599" s="9"/>
    </row>
    <row r="600" spans="14:14" x14ac:dyDescent="0.3">
      <c r="N600" s="9"/>
    </row>
    <row r="601" spans="14:14" x14ac:dyDescent="0.3">
      <c r="N601" s="9"/>
    </row>
    <row r="602" spans="14:14" x14ac:dyDescent="0.3">
      <c r="N602" s="9"/>
    </row>
    <row r="603" spans="14:14" x14ac:dyDescent="0.3">
      <c r="N603" s="9"/>
    </row>
    <row r="604" spans="14:14" x14ac:dyDescent="0.3">
      <c r="N604" s="9"/>
    </row>
    <row r="605" spans="14:14" x14ac:dyDescent="0.3">
      <c r="N605" s="9"/>
    </row>
    <row r="606" spans="14:14" x14ac:dyDescent="0.3">
      <c r="N606" s="9"/>
    </row>
    <row r="607" spans="14:14" x14ac:dyDescent="0.3">
      <c r="N607" s="9"/>
    </row>
    <row r="608" spans="14:14" x14ac:dyDescent="0.3">
      <c r="N608" s="9"/>
    </row>
    <row r="609" spans="14:14" x14ac:dyDescent="0.3">
      <c r="N609" s="9"/>
    </row>
    <row r="610" spans="14:14" x14ac:dyDescent="0.3">
      <c r="N610" s="9"/>
    </row>
    <row r="611" spans="14:14" x14ac:dyDescent="0.3">
      <c r="N611" s="9"/>
    </row>
    <row r="612" spans="14:14" x14ac:dyDescent="0.3">
      <c r="N612" s="9"/>
    </row>
    <row r="613" spans="14:14" x14ac:dyDescent="0.3">
      <c r="N613" s="9"/>
    </row>
    <row r="614" spans="14:14" x14ac:dyDescent="0.3">
      <c r="N614" s="9"/>
    </row>
    <row r="615" spans="14:14" x14ac:dyDescent="0.3">
      <c r="N615" s="9"/>
    </row>
    <row r="616" spans="14:14" x14ac:dyDescent="0.3">
      <c r="N616" s="9"/>
    </row>
    <row r="617" spans="14:14" x14ac:dyDescent="0.3">
      <c r="N617" s="9"/>
    </row>
    <row r="618" spans="14:14" x14ac:dyDescent="0.3">
      <c r="N618" s="9"/>
    </row>
    <row r="619" spans="14:14" x14ac:dyDescent="0.3">
      <c r="N619" s="9"/>
    </row>
    <row r="620" spans="14:14" x14ac:dyDescent="0.3">
      <c r="N620" s="9"/>
    </row>
    <row r="621" spans="14:14" x14ac:dyDescent="0.3">
      <c r="N621" s="9"/>
    </row>
    <row r="622" spans="14:14" x14ac:dyDescent="0.3">
      <c r="N622" s="9"/>
    </row>
    <row r="623" spans="14:14" x14ac:dyDescent="0.3">
      <c r="N623" s="9"/>
    </row>
    <row r="624" spans="14:14" x14ac:dyDescent="0.3">
      <c r="N624" s="9"/>
    </row>
    <row r="625" spans="14:14" x14ac:dyDescent="0.3">
      <c r="N625" s="9"/>
    </row>
    <row r="626" spans="14:14" x14ac:dyDescent="0.3">
      <c r="N626" s="9"/>
    </row>
    <row r="627" spans="14:14" x14ac:dyDescent="0.3">
      <c r="N627" s="9"/>
    </row>
    <row r="628" spans="14:14" x14ac:dyDescent="0.3">
      <c r="N628" s="9"/>
    </row>
    <row r="629" spans="14:14" x14ac:dyDescent="0.3">
      <c r="N629" s="9"/>
    </row>
    <row r="630" spans="14:14" x14ac:dyDescent="0.3">
      <c r="N630" s="9"/>
    </row>
    <row r="631" spans="14:14" x14ac:dyDescent="0.3">
      <c r="N631" s="9"/>
    </row>
    <row r="632" spans="14:14" x14ac:dyDescent="0.3">
      <c r="N632" s="9"/>
    </row>
    <row r="633" spans="14:14" x14ac:dyDescent="0.3">
      <c r="N633" s="9"/>
    </row>
    <row r="634" spans="14:14" x14ac:dyDescent="0.3">
      <c r="N634" s="9"/>
    </row>
    <row r="635" spans="14:14" x14ac:dyDescent="0.3">
      <c r="N635" s="9"/>
    </row>
    <row r="636" spans="14:14" x14ac:dyDescent="0.3">
      <c r="N636" s="9"/>
    </row>
    <row r="637" spans="14:14" x14ac:dyDescent="0.3">
      <c r="N637" s="9"/>
    </row>
    <row r="638" spans="14:14" x14ac:dyDescent="0.3">
      <c r="N638" s="9"/>
    </row>
    <row r="639" spans="14:14" x14ac:dyDescent="0.3">
      <c r="N639" s="9"/>
    </row>
    <row r="640" spans="14:14" x14ac:dyDescent="0.3">
      <c r="N640" s="9"/>
    </row>
    <row r="641" spans="14:14" x14ac:dyDescent="0.3">
      <c r="N641" s="9"/>
    </row>
    <row r="642" spans="14:14" x14ac:dyDescent="0.3">
      <c r="N642" s="9"/>
    </row>
    <row r="643" spans="14:14" x14ac:dyDescent="0.3">
      <c r="N643" s="9"/>
    </row>
    <row r="644" spans="14:14" x14ac:dyDescent="0.3">
      <c r="N644" s="9"/>
    </row>
    <row r="645" spans="14:14" x14ac:dyDescent="0.3">
      <c r="N645" s="9"/>
    </row>
    <row r="646" spans="14:14" x14ac:dyDescent="0.3">
      <c r="N646" s="9"/>
    </row>
    <row r="647" spans="14:14" x14ac:dyDescent="0.3">
      <c r="N647" s="9"/>
    </row>
    <row r="648" spans="14:14" x14ac:dyDescent="0.3">
      <c r="N648" s="9"/>
    </row>
    <row r="649" spans="14:14" x14ac:dyDescent="0.3">
      <c r="N649" s="9"/>
    </row>
    <row r="650" spans="14:14" x14ac:dyDescent="0.3">
      <c r="N650" s="9"/>
    </row>
    <row r="651" spans="14:14" x14ac:dyDescent="0.3">
      <c r="N651" s="9"/>
    </row>
    <row r="652" spans="14:14" x14ac:dyDescent="0.3">
      <c r="N652" s="9"/>
    </row>
    <row r="653" spans="14:14" x14ac:dyDescent="0.3">
      <c r="N653" s="9"/>
    </row>
    <row r="654" spans="14:14" x14ac:dyDescent="0.3">
      <c r="N654" s="9"/>
    </row>
    <row r="655" spans="14:14" x14ac:dyDescent="0.3">
      <c r="N655" s="9"/>
    </row>
    <row r="656" spans="14:14" x14ac:dyDescent="0.3">
      <c r="N656" s="9"/>
    </row>
    <row r="657" spans="14:14" x14ac:dyDescent="0.3">
      <c r="N657" s="9"/>
    </row>
    <row r="658" spans="14:14" x14ac:dyDescent="0.3">
      <c r="N658" s="9"/>
    </row>
    <row r="659" spans="14:14" x14ac:dyDescent="0.3">
      <c r="N659" s="9"/>
    </row>
    <row r="660" spans="14:14" x14ac:dyDescent="0.3">
      <c r="N660" s="9"/>
    </row>
    <row r="661" spans="14:14" x14ac:dyDescent="0.3">
      <c r="N661" s="9"/>
    </row>
    <row r="662" spans="14:14" x14ac:dyDescent="0.3">
      <c r="N662" s="9"/>
    </row>
    <row r="663" spans="14:14" x14ac:dyDescent="0.3">
      <c r="N663" s="9"/>
    </row>
    <row r="664" spans="14:14" x14ac:dyDescent="0.3">
      <c r="N664" s="9"/>
    </row>
    <row r="665" spans="14:14" x14ac:dyDescent="0.3">
      <c r="N665" s="9"/>
    </row>
    <row r="666" spans="14:14" x14ac:dyDescent="0.3">
      <c r="N666" s="9"/>
    </row>
    <row r="667" spans="14:14" x14ac:dyDescent="0.3">
      <c r="N667" s="9"/>
    </row>
    <row r="668" spans="14:14" x14ac:dyDescent="0.3">
      <c r="N668" s="9"/>
    </row>
    <row r="669" spans="14:14" x14ac:dyDescent="0.3">
      <c r="N669" s="9"/>
    </row>
    <row r="670" spans="14:14" x14ac:dyDescent="0.3">
      <c r="N670" s="9"/>
    </row>
    <row r="671" spans="14:14" x14ac:dyDescent="0.3">
      <c r="N671" s="9"/>
    </row>
    <row r="672" spans="14:14" x14ac:dyDescent="0.3">
      <c r="N672" s="9"/>
    </row>
    <row r="673" spans="14:14" x14ac:dyDescent="0.3">
      <c r="N673" s="9"/>
    </row>
    <row r="674" spans="14:14" x14ac:dyDescent="0.3">
      <c r="N674" s="9"/>
    </row>
    <row r="675" spans="14:14" x14ac:dyDescent="0.3">
      <c r="N675" s="9"/>
    </row>
    <row r="676" spans="14:14" x14ac:dyDescent="0.3">
      <c r="N676" s="9"/>
    </row>
    <row r="677" spans="14:14" x14ac:dyDescent="0.3">
      <c r="N677" s="9"/>
    </row>
    <row r="678" spans="14:14" x14ac:dyDescent="0.3">
      <c r="N678" s="9"/>
    </row>
    <row r="679" spans="14:14" x14ac:dyDescent="0.3">
      <c r="N679" s="9"/>
    </row>
    <row r="680" spans="14:14" x14ac:dyDescent="0.3">
      <c r="N680" s="9"/>
    </row>
    <row r="681" spans="14:14" x14ac:dyDescent="0.3">
      <c r="N681" s="9"/>
    </row>
    <row r="682" spans="14:14" x14ac:dyDescent="0.3">
      <c r="N682" s="9"/>
    </row>
    <row r="683" spans="14:14" x14ac:dyDescent="0.3">
      <c r="N683" s="9"/>
    </row>
    <row r="684" spans="14:14" x14ac:dyDescent="0.3">
      <c r="N684" s="9"/>
    </row>
    <row r="685" spans="14:14" x14ac:dyDescent="0.3">
      <c r="N685" s="9"/>
    </row>
    <row r="686" spans="14:14" x14ac:dyDescent="0.3">
      <c r="N686" s="9"/>
    </row>
    <row r="687" spans="14:14" x14ac:dyDescent="0.3">
      <c r="N687" s="9"/>
    </row>
    <row r="688" spans="14:14" x14ac:dyDescent="0.3">
      <c r="N688" s="9"/>
    </row>
    <row r="689" spans="14:14" x14ac:dyDescent="0.3">
      <c r="N689" s="9"/>
    </row>
    <row r="690" spans="14:14" x14ac:dyDescent="0.3">
      <c r="N690" s="9"/>
    </row>
    <row r="691" spans="14:14" x14ac:dyDescent="0.3">
      <c r="N691" s="9"/>
    </row>
    <row r="692" spans="14:14" x14ac:dyDescent="0.3">
      <c r="N692" s="9"/>
    </row>
    <row r="693" spans="14:14" x14ac:dyDescent="0.3">
      <c r="N693" s="9"/>
    </row>
    <row r="694" spans="14:14" x14ac:dyDescent="0.3">
      <c r="N694" s="9"/>
    </row>
    <row r="695" spans="14:14" x14ac:dyDescent="0.3">
      <c r="N695" s="9"/>
    </row>
    <row r="696" spans="14:14" x14ac:dyDescent="0.3">
      <c r="N696" s="9"/>
    </row>
    <row r="697" spans="14:14" x14ac:dyDescent="0.3">
      <c r="N697" s="9"/>
    </row>
    <row r="698" spans="14:14" x14ac:dyDescent="0.3">
      <c r="N698" s="9"/>
    </row>
    <row r="699" spans="14:14" x14ac:dyDescent="0.3">
      <c r="N699" s="9"/>
    </row>
    <row r="700" spans="14:14" x14ac:dyDescent="0.3">
      <c r="N700" s="9"/>
    </row>
    <row r="701" spans="14:14" x14ac:dyDescent="0.3">
      <c r="N701" s="9"/>
    </row>
    <row r="702" spans="14:14" x14ac:dyDescent="0.3">
      <c r="N702" s="9"/>
    </row>
    <row r="703" spans="14:14" x14ac:dyDescent="0.3">
      <c r="N703" s="9"/>
    </row>
    <row r="704" spans="14:14" x14ac:dyDescent="0.3">
      <c r="N704" s="9"/>
    </row>
    <row r="705" spans="14:14" x14ac:dyDescent="0.3">
      <c r="N705" s="9"/>
    </row>
    <row r="706" spans="14:14" x14ac:dyDescent="0.3">
      <c r="N706" s="9"/>
    </row>
    <row r="707" spans="14:14" x14ac:dyDescent="0.3">
      <c r="N707" s="9"/>
    </row>
    <row r="708" spans="14:14" x14ac:dyDescent="0.3">
      <c r="N708" s="9"/>
    </row>
    <row r="709" spans="14:14" x14ac:dyDescent="0.3">
      <c r="N709" s="9"/>
    </row>
    <row r="710" spans="14:14" x14ac:dyDescent="0.3">
      <c r="N710" s="9"/>
    </row>
    <row r="711" spans="14:14" x14ac:dyDescent="0.3">
      <c r="N711" s="9"/>
    </row>
    <row r="712" spans="14:14" x14ac:dyDescent="0.3">
      <c r="N712" s="9"/>
    </row>
    <row r="713" spans="14:14" x14ac:dyDescent="0.3">
      <c r="N713" s="9"/>
    </row>
    <row r="714" spans="14:14" x14ac:dyDescent="0.3">
      <c r="N714" s="9"/>
    </row>
    <row r="715" spans="14:14" x14ac:dyDescent="0.3">
      <c r="N715" s="9"/>
    </row>
    <row r="716" spans="14:14" x14ac:dyDescent="0.3">
      <c r="N716" s="9"/>
    </row>
    <row r="717" spans="14:14" x14ac:dyDescent="0.3">
      <c r="N717" s="9"/>
    </row>
    <row r="718" spans="14:14" x14ac:dyDescent="0.3">
      <c r="N718" s="9"/>
    </row>
    <row r="719" spans="14:14" x14ac:dyDescent="0.3">
      <c r="N719" s="9"/>
    </row>
    <row r="720" spans="14:14" x14ac:dyDescent="0.3">
      <c r="N720" s="9"/>
    </row>
    <row r="721" spans="14:14" x14ac:dyDescent="0.3">
      <c r="N721" s="9"/>
    </row>
    <row r="722" spans="14:14" x14ac:dyDescent="0.3">
      <c r="N722" s="9"/>
    </row>
    <row r="723" spans="14:14" x14ac:dyDescent="0.3">
      <c r="N723" s="9"/>
    </row>
    <row r="724" spans="14:14" x14ac:dyDescent="0.3">
      <c r="N724" s="9"/>
    </row>
    <row r="725" spans="14:14" x14ac:dyDescent="0.3">
      <c r="N725" s="9"/>
    </row>
    <row r="726" spans="14:14" x14ac:dyDescent="0.3">
      <c r="N726" s="9"/>
    </row>
    <row r="727" spans="14:14" x14ac:dyDescent="0.3">
      <c r="N727" s="9"/>
    </row>
    <row r="728" spans="14:14" x14ac:dyDescent="0.3">
      <c r="N728" s="9"/>
    </row>
    <row r="729" spans="14:14" x14ac:dyDescent="0.3">
      <c r="N729" s="9"/>
    </row>
    <row r="730" spans="14:14" x14ac:dyDescent="0.3">
      <c r="N730" s="9"/>
    </row>
    <row r="731" spans="14:14" x14ac:dyDescent="0.3">
      <c r="N731" s="9"/>
    </row>
    <row r="732" spans="14:14" x14ac:dyDescent="0.3">
      <c r="N732" s="9"/>
    </row>
    <row r="733" spans="14:14" x14ac:dyDescent="0.3">
      <c r="N733" s="9"/>
    </row>
    <row r="734" spans="14:14" x14ac:dyDescent="0.3">
      <c r="N734" s="9"/>
    </row>
    <row r="735" spans="14:14" x14ac:dyDescent="0.3">
      <c r="N735" s="9"/>
    </row>
    <row r="736" spans="14:14" x14ac:dyDescent="0.3">
      <c r="N736" s="9"/>
    </row>
    <row r="737" spans="14:14" x14ac:dyDescent="0.3">
      <c r="N737" s="9"/>
    </row>
    <row r="738" spans="14:14" x14ac:dyDescent="0.3">
      <c r="N738" s="9"/>
    </row>
    <row r="739" spans="14:14" x14ac:dyDescent="0.3">
      <c r="N739" s="9"/>
    </row>
    <row r="740" spans="14:14" x14ac:dyDescent="0.3">
      <c r="N740" s="9"/>
    </row>
    <row r="741" spans="14:14" x14ac:dyDescent="0.3">
      <c r="N741" s="9"/>
    </row>
    <row r="742" spans="14:14" x14ac:dyDescent="0.3">
      <c r="N742" s="9"/>
    </row>
    <row r="743" spans="14:14" x14ac:dyDescent="0.3">
      <c r="N743" s="9"/>
    </row>
    <row r="744" spans="14:14" x14ac:dyDescent="0.3">
      <c r="N744" s="9"/>
    </row>
    <row r="745" spans="14:14" x14ac:dyDescent="0.3">
      <c r="N745" s="9"/>
    </row>
    <row r="746" spans="14:14" x14ac:dyDescent="0.3">
      <c r="N746" s="9"/>
    </row>
    <row r="747" spans="14:14" x14ac:dyDescent="0.3">
      <c r="N747" s="9"/>
    </row>
    <row r="748" spans="14:14" x14ac:dyDescent="0.3">
      <c r="N748" s="9"/>
    </row>
    <row r="749" spans="14:14" x14ac:dyDescent="0.3">
      <c r="N749" s="9"/>
    </row>
    <row r="750" spans="14:14" x14ac:dyDescent="0.3">
      <c r="N750" s="9"/>
    </row>
    <row r="751" spans="14:14" x14ac:dyDescent="0.3">
      <c r="N751" s="9"/>
    </row>
    <row r="752" spans="14:14" x14ac:dyDescent="0.3">
      <c r="N752" s="9"/>
    </row>
    <row r="753" spans="14:14" x14ac:dyDescent="0.3">
      <c r="N753" s="9"/>
    </row>
    <row r="754" spans="14:14" x14ac:dyDescent="0.3">
      <c r="N754" s="9"/>
    </row>
    <row r="755" spans="14:14" x14ac:dyDescent="0.3">
      <c r="N755" s="9"/>
    </row>
    <row r="756" spans="14:14" x14ac:dyDescent="0.3">
      <c r="N756" s="9"/>
    </row>
    <row r="757" spans="14:14" x14ac:dyDescent="0.3">
      <c r="N757" s="9"/>
    </row>
    <row r="758" spans="14:14" x14ac:dyDescent="0.3">
      <c r="N758" s="9"/>
    </row>
    <row r="759" spans="14:14" x14ac:dyDescent="0.3">
      <c r="N759" s="9"/>
    </row>
    <row r="760" spans="14:14" x14ac:dyDescent="0.3">
      <c r="N760" s="9"/>
    </row>
    <row r="761" spans="14:14" x14ac:dyDescent="0.3">
      <c r="N761" s="9"/>
    </row>
    <row r="762" spans="14:14" x14ac:dyDescent="0.3">
      <c r="N762" s="9"/>
    </row>
    <row r="763" spans="14:14" x14ac:dyDescent="0.3">
      <c r="N763" s="9"/>
    </row>
    <row r="764" spans="14:14" x14ac:dyDescent="0.3">
      <c r="N764" s="9"/>
    </row>
    <row r="765" spans="14:14" x14ac:dyDescent="0.3">
      <c r="N765" s="9"/>
    </row>
    <row r="766" spans="14:14" x14ac:dyDescent="0.3">
      <c r="N766" s="9"/>
    </row>
    <row r="767" spans="14:14" x14ac:dyDescent="0.3">
      <c r="N767" s="9"/>
    </row>
    <row r="768" spans="14:14" x14ac:dyDescent="0.3">
      <c r="N768" s="9"/>
    </row>
    <row r="769" spans="14:14" x14ac:dyDescent="0.3">
      <c r="N769" s="9"/>
    </row>
    <row r="770" spans="14:14" x14ac:dyDescent="0.3">
      <c r="N770" s="9"/>
    </row>
    <row r="771" spans="14:14" x14ac:dyDescent="0.3">
      <c r="N771" s="9"/>
    </row>
    <row r="772" spans="14:14" x14ac:dyDescent="0.3">
      <c r="N772" s="9"/>
    </row>
    <row r="773" spans="14:14" x14ac:dyDescent="0.3">
      <c r="N773" s="9"/>
    </row>
    <row r="774" spans="14:14" x14ac:dyDescent="0.3">
      <c r="N774" s="9"/>
    </row>
    <row r="775" spans="14:14" x14ac:dyDescent="0.3">
      <c r="N775" s="9"/>
    </row>
    <row r="776" spans="14:14" x14ac:dyDescent="0.3">
      <c r="N776" s="9"/>
    </row>
    <row r="777" spans="14:14" x14ac:dyDescent="0.3">
      <c r="N777" s="9"/>
    </row>
    <row r="778" spans="14:14" x14ac:dyDescent="0.3">
      <c r="N778" s="9"/>
    </row>
    <row r="779" spans="14:14" x14ac:dyDescent="0.3">
      <c r="N779" s="9"/>
    </row>
    <row r="780" spans="14:14" x14ac:dyDescent="0.3">
      <c r="N780" s="9"/>
    </row>
    <row r="781" spans="14:14" x14ac:dyDescent="0.3">
      <c r="N781" s="9"/>
    </row>
    <row r="782" spans="14:14" x14ac:dyDescent="0.3">
      <c r="N782" s="9"/>
    </row>
    <row r="783" spans="14:14" x14ac:dyDescent="0.3">
      <c r="N783" s="9"/>
    </row>
    <row r="784" spans="14:14" x14ac:dyDescent="0.3">
      <c r="N784" s="9"/>
    </row>
    <row r="785" spans="14:14" x14ac:dyDescent="0.3">
      <c r="N785" s="9"/>
    </row>
    <row r="786" spans="14:14" x14ac:dyDescent="0.3">
      <c r="N786" s="9"/>
    </row>
    <row r="787" spans="14:14" x14ac:dyDescent="0.3">
      <c r="N787" s="9"/>
    </row>
    <row r="788" spans="14:14" x14ac:dyDescent="0.3">
      <c r="N788" s="9"/>
    </row>
    <row r="789" spans="14:14" x14ac:dyDescent="0.3">
      <c r="N789" s="9"/>
    </row>
    <row r="790" spans="14:14" x14ac:dyDescent="0.3">
      <c r="N790" s="9"/>
    </row>
    <row r="791" spans="14:14" x14ac:dyDescent="0.3">
      <c r="N791" s="9"/>
    </row>
    <row r="792" spans="14:14" x14ac:dyDescent="0.3">
      <c r="N792" s="9"/>
    </row>
    <row r="793" spans="14:14" x14ac:dyDescent="0.3">
      <c r="N793" s="9"/>
    </row>
    <row r="794" spans="14:14" x14ac:dyDescent="0.3">
      <c r="N794" s="9"/>
    </row>
    <row r="795" spans="14:14" x14ac:dyDescent="0.3">
      <c r="N795" s="9"/>
    </row>
  </sheetData>
  <sheetProtection algorithmName="SHA-512" hashValue="IbRjy2ikBxwoIbqysXQsqWppGhCbk/foOiT2kg7tirMDJkQq1+6v07HGD0iqbrC+EIsvxO6UIrmfNd0XAoX57Q==" saltValue="BuvsAXXQcfihunaqe4twRg==" spinCount="100000" sheet="1" objects="1" scenarios="1"/>
  <mergeCells count="1">
    <mergeCell ref="A34:D34"/>
  </mergeCells>
  <phoneticPr fontId="0" type="noConversion"/>
  <pageMargins left="0.5" right="0.5" top="0.5" bottom="0.5" header="0.5" footer="0.4"/>
  <pageSetup scale="66" orientation="landscape" r:id="rId1"/>
  <headerFooter alignWithMargins="0">
    <oddFooter>&amp;C&amp;F&amp;R&amp;D &amp;T</oddFooter>
  </headerFooter>
  <customProperties>
    <customPr name="f7bae8932" r:id="rId2"/>
  </customPropertie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4"/>
  <sheetViews>
    <sheetView workbookViewId="0">
      <selection activeCell="M31" sqref="M31"/>
    </sheetView>
  </sheetViews>
  <sheetFormatPr defaultColWidth="8.54296875" defaultRowHeight="13" x14ac:dyDescent="0.3"/>
  <cols>
    <col min="3" max="3" width="11.7265625" bestFit="1" customWidth="1"/>
  </cols>
  <sheetData>
    <row r="1" spans="1:11" ht="16" thickBot="1" x14ac:dyDescent="0.4">
      <c r="A1" s="17" t="s">
        <v>57</v>
      </c>
      <c r="B1" s="18"/>
      <c r="C1" s="18"/>
      <c r="D1" s="18"/>
      <c r="E1" s="18"/>
      <c r="F1" s="18"/>
      <c r="G1" s="18"/>
      <c r="H1" s="18"/>
      <c r="I1" s="18"/>
      <c r="J1" s="18"/>
      <c r="K1" s="18"/>
    </row>
    <row r="3" spans="1:11" ht="15.5" x14ac:dyDescent="0.35">
      <c r="A3" s="141" t="s">
        <v>93</v>
      </c>
    </row>
    <row r="5" spans="1:11" ht="14" x14ac:dyDescent="0.3">
      <c r="A5" s="144" t="s">
        <v>94</v>
      </c>
    </row>
    <row r="6" spans="1:11" ht="14" x14ac:dyDescent="0.3">
      <c r="A6" s="145" t="s">
        <v>143</v>
      </c>
    </row>
    <row r="7" spans="1:11" ht="14" x14ac:dyDescent="0.3">
      <c r="A7" s="145" t="s">
        <v>95</v>
      </c>
    </row>
    <row r="34" ht="12.75" customHeight="1" x14ac:dyDescent="0.3"/>
  </sheetData>
  <phoneticPr fontId="0" type="noConversion"/>
  <pageMargins left="0.75" right="0.75" top="1" bottom="1" header="0.5" footer="0.5"/>
  <pageSetup orientation="landscape" r:id="rId1"/>
  <headerFooter alignWithMargins="0"/>
  <customProperties>
    <customPr name="f368f0114"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84"/>
  <sheetViews>
    <sheetView zoomScale="90" zoomScaleNormal="90" workbookViewId="0">
      <selection activeCell="A76" sqref="A76"/>
    </sheetView>
  </sheetViews>
  <sheetFormatPr defaultColWidth="8.54296875" defaultRowHeight="13" x14ac:dyDescent="0.3"/>
  <cols>
    <col min="1" max="1" width="13.81640625" customWidth="1"/>
    <col min="2" max="2" width="14.26953125" customWidth="1"/>
    <col min="3" max="3" width="13" customWidth="1"/>
    <col min="4" max="4" width="17.81640625" customWidth="1"/>
    <col min="5" max="5" width="13.1796875" customWidth="1"/>
    <col min="6" max="6" width="8.54296875" style="118" customWidth="1"/>
    <col min="7" max="7" width="29.453125" bestFit="1" customWidth="1"/>
    <col min="8" max="8" width="6.1796875" customWidth="1"/>
    <col min="10" max="10" width="16.453125" bestFit="1" customWidth="1"/>
    <col min="11" max="11" width="16" bestFit="1" customWidth="1"/>
  </cols>
  <sheetData>
    <row r="1" spans="1:12" ht="18" x14ac:dyDescent="0.4">
      <c r="A1" s="94" t="s">
        <v>8</v>
      </c>
    </row>
    <row r="2" spans="1:12" ht="18" x14ac:dyDescent="0.4">
      <c r="A2" s="94" t="s">
        <v>59</v>
      </c>
    </row>
    <row r="3" spans="1:12" ht="18" x14ac:dyDescent="0.4">
      <c r="A3" s="94" t="s">
        <v>156</v>
      </c>
    </row>
    <row r="4" spans="1:12" x14ac:dyDescent="0.3">
      <c r="A4" s="60" t="s">
        <v>157</v>
      </c>
    </row>
    <row r="5" spans="1:12" x14ac:dyDescent="0.3">
      <c r="A5" s="62"/>
    </row>
    <row r="6" spans="1:12" ht="13.5" thickBot="1" x14ac:dyDescent="0.35">
      <c r="A6" s="63"/>
      <c r="G6" t="s">
        <v>87</v>
      </c>
      <c r="H6">
        <v>1.0874947323566806</v>
      </c>
    </row>
    <row r="7" spans="1:12" x14ac:dyDescent="0.3">
      <c r="A7" s="66" t="s">
        <v>40</v>
      </c>
      <c r="B7" s="19"/>
      <c r="C7" s="19"/>
      <c r="D7" s="20"/>
      <c r="E7" s="21"/>
      <c r="G7" s="105"/>
    </row>
    <row r="8" spans="1:12" ht="23.25" customHeight="1" x14ac:dyDescent="0.3">
      <c r="A8" s="122" t="s">
        <v>41</v>
      </c>
      <c r="B8" s="123" t="s">
        <v>42</v>
      </c>
      <c r="C8" s="123" t="s">
        <v>43</v>
      </c>
      <c r="D8" s="124" t="s">
        <v>58</v>
      </c>
      <c r="E8" s="139" t="s">
        <v>97</v>
      </c>
      <c r="J8" t="s">
        <v>86</v>
      </c>
      <c r="K8" t="s">
        <v>58</v>
      </c>
    </row>
    <row r="9" spans="1:12" s="146" customFormat="1" x14ac:dyDescent="0.3">
      <c r="A9" s="125">
        <v>5</v>
      </c>
      <c r="B9" s="151">
        <v>0.11119999999999999</v>
      </c>
      <c r="C9" s="151">
        <v>0.56020000000000003</v>
      </c>
      <c r="D9" s="126">
        <f>K9</f>
        <v>1.0439949430624132E-2</v>
      </c>
      <c r="E9" s="155">
        <f>'[1]EMFAC2021ER-EMFAC2011Class-BayA'!$M$10</f>
        <v>621.67639807025</v>
      </c>
      <c r="F9" s="149"/>
      <c r="J9" s="153">
        <v>9.5999999999999992E-3</v>
      </c>
      <c r="K9" s="146">
        <f t="shared" ref="K9:K16" si="0">J9*$H$6</f>
        <v>1.0439949430624132E-2</v>
      </c>
    </row>
    <row r="10" spans="1:12" x14ac:dyDescent="0.3">
      <c r="A10" s="120">
        <v>6</v>
      </c>
      <c r="B10" s="152">
        <v>0.10199999999999999</v>
      </c>
      <c r="C10" s="152">
        <v>0.52939999999999998</v>
      </c>
      <c r="D10" s="121">
        <f>K10</f>
        <v>9.6787031179744569E-3</v>
      </c>
      <c r="E10" s="156">
        <f>E9-((E9-E14)/5)</f>
        <v>598.43797705254599</v>
      </c>
      <c r="J10" s="154">
        <v>8.8999999999999999E-3</v>
      </c>
      <c r="K10">
        <f t="shared" si="0"/>
        <v>9.6787031179744569E-3</v>
      </c>
    </row>
    <row r="11" spans="1:12" x14ac:dyDescent="0.3">
      <c r="A11" s="119">
        <v>7</v>
      </c>
      <c r="B11" s="152">
        <v>9.35E-2</v>
      </c>
      <c r="C11" s="152">
        <v>0.50039999999999996</v>
      </c>
      <c r="D11" s="121">
        <f t="shared" ref="D11:D69" si="1">K11</f>
        <v>8.9174568053247815E-3</v>
      </c>
      <c r="E11" s="156">
        <f>E9-(2*(E9-E14)/5)</f>
        <v>575.19955603484198</v>
      </c>
      <c r="J11" s="154">
        <v>8.2000000000000007E-3</v>
      </c>
      <c r="K11">
        <f t="shared" si="0"/>
        <v>8.9174568053247815E-3</v>
      </c>
    </row>
    <row r="12" spans="1:12" x14ac:dyDescent="0.3">
      <c r="A12" s="119">
        <v>8</v>
      </c>
      <c r="B12" s="152">
        <v>8.5699999999999998E-2</v>
      </c>
      <c r="C12" s="152">
        <v>0.47289999999999999</v>
      </c>
      <c r="D12" s="121">
        <f t="shared" si="1"/>
        <v>8.264959965910772E-3</v>
      </c>
      <c r="E12" s="156">
        <f>E9-(3*(E9-E14)/5)</f>
        <v>551.96113501713796</v>
      </c>
      <c r="J12" s="154">
        <v>7.6E-3</v>
      </c>
      <c r="K12">
        <f t="shared" si="0"/>
        <v>8.264959965910772E-3</v>
      </c>
    </row>
    <row r="13" spans="1:12" x14ac:dyDescent="0.3">
      <c r="A13" s="119">
        <v>9</v>
      </c>
      <c r="B13" s="152">
        <v>7.8600000000000003E-2</v>
      </c>
      <c r="C13" s="152">
        <v>0.44700000000000001</v>
      </c>
      <c r="D13" s="121">
        <f t="shared" si="1"/>
        <v>7.6124631264967643E-3</v>
      </c>
      <c r="E13" s="156">
        <f>E9-(4*(E9-E14)/5)</f>
        <v>528.72271399943395</v>
      </c>
      <c r="J13" s="154">
        <v>7.0000000000000001E-3</v>
      </c>
      <c r="K13">
        <f t="shared" si="0"/>
        <v>7.6124631264967643E-3</v>
      </c>
    </row>
    <row r="14" spans="1:12" s="146" customFormat="1" x14ac:dyDescent="0.3">
      <c r="A14" s="125">
        <v>10</v>
      </c>
      <c r="B14" s="151">
        <v>7.2099999999999997E-2</v>
      </c>
      <c r="C14" s="151">
        <v>0.42249999999999999</v>
      </c>
      <c r="D14" s="126">
        <f t="shared" si="1"/>
        <v>7.0687157603184234E-3</v>
      </c>
      <c r="E14" s="155">
        <f>'[1]EMFAC2021ER-EMFAC2011Class-BayA'!$M$11</f>
        <v>505.48429298172999</v>
      </c>
      <c r="F14" s="149"/>
      <c r="J14" s="153">
        <v>6.4999999999999997E-3</v>
      </c>
      <c r="K14" s="146">
        <f t="shared" si="0"/>
        <v>7.0687157603184234E-3</v>
      </c>
    </row>
    <row r="15" spans="1:12" x14ac:dyDescent="0.3">
      <c r="A15" s="119">
        <v>11</v>
      </c>
      <c r="B15" s="152">
        <v>6.6500000000000004E-2</v>
      </c>
      <c r="C15" s="152">
        <v>0.39500000000000002</v>
      </c>
      <c r="D15" s="121">
        <f t="shared" si="1"/>
        <v>6.5249683941400833E-3</v>
      </c>
      <c r="E15" s="156">
        <f>E14-((E14-E19)/5)</f>
        <v>486.712022340678</v>
      </c>
      <c r="I15" s="7"/>
      <c r="J15" s="154">
        <v>6.0000000000000001E-3</v>
      </c>
      <c r="K15">
        <f t="shared" si="0"/>
        <v>6.5249683941400833E-3</v>
      </c>
      <c r="L15" s="7"/>
    </row>
    <row r="16" spans="1:12" x14ac:dyDescent="0.3">
      <c r="A16" s="119">
        <v>12</v>
      </c>
      <c r="B16" s="152">
        <v>6.1400000000000003E-2</v>
      </c>
      <c r="C16" s="152">
        <v>0.36919999999999997</v>
      </c>
      <c r="D16" s="121">
        <f t="shared" si="1"/>
        <v>6.0899705011974109E-3</v>
      </c>
      <c r="E16" s="156">
        <f>E14-(2*(E14-E19)/5)</f>
        <v>467.93975169962602</v>
      </c>
      <c r="J16" s="154">
        <v>5.5999999999999999E-3</v>
      </c>
      <c r="K16">
        <f t="shared" si="0"/>
        <v>6.0899705011974109E-3</v>
      </c>
      <c r="L16" s="7"/>
    </row>
    <row r="17" spans="1:12" x14ac:dyDescent="0.3">
      <c r="A17" s="119">
        <v>13</v>
      </c>
      <c r="B17" s="152">
        <v>5.67E-2</v>
      </c>
      <c r="C17" s="152">
        <v>0.34520000000000001</v>
      </c>
      <c r="D17" s="121">
        <f t="shared" si="1"/>
        <v>5.6549726082547385E-3</v>
      </c>
      <c r="E17" s="156">
        <f>E14-(3*(E14-E19)/5)</f>
        <v>449.16748105857397</v>
      </c>
      <c r="J17" s="154">
        <v>5.1999999999999998E-3</v>
      </c>
      <c r="K17">
        <f t="shared" ref="K17:K69" si="2">J17*$H$6</f>
        <v>5.6549726082547385E-3</v>
      </c>
      <c r="L17" s="7"/>
    </row>
    <row r="18" spans="1:12" x14ac:dyDescent="0.3">
      <c r="A18" s="119">
        <v>14</v>
      </c>
      <c r="B18" s="152">
        <v>5.2299999999999999E-2</v>
      </c>
      <c r="C18" s="152">
        <v>0.32269999999999999</v>
      </c>
      <c r="D18" s="121">
        <f t="shared" si="1"/>
        <v>5.3287241885477347E-3</v>
      </c>
      <c r="E18" s="156">
        <f>E14-(4*(E14-E19)/5)</f>
        <v>430.39521041752198</v>
      </c>
      <c r="J18" s="154">
        <v>4.8999999999999998E-3</v>
      </c>
      <c r="K18">
        <f t="shared" si="2"/>
        <v>5.3287241885477347E-3</v>
      </c>
      <c r="L18" s="7"/>
    </row>
    <row r="19" spans="1:12" s="146" customFormat="1" x14ac:dyDescent="0.3">
      <c r="A19" s="125">
        <v>15</v>
      </c>
      <c r="B19" s="151">
        <v>4.8300000000000003E-2</v>
      </c>
      <c r="C19" s="151">
        <v>0.30159999999999998</v>
      </c>
      <c r="D19" s="126">
        <f t="shared" si="1"/>
        <v>4.8937262956050623E-3</v>
      </c>
      <c r="E19" s="155">
        <f>'[1]EMFAC2021ER-EMFAC2011Class-BayA'!$M$12</f>
        <v>411.62293977646999</v>
      </c>
      <c r="F19" s="149"/>
      <c r="H19" s="147"/>
      <c r="I19" s="148"/>
      <c r="J19" s="153">
        <v>4.4999999999999997E-3</v>
      </c>
      <c r="K19" s="146">
        <f t="shared" si="2"/>
        <v>4.8937262956050623E-3</v>
      </c>
    </row>
    <row r="20" spans="1:12" ht="15.5" x14ac:dyDescent="0.35">
      <c r="A20" s="119">
        <v>16</v>
      </c>
      <c r="B20" s="152">
        <v>4.5100000000000001E-2</v>
      </c>
      <c r="C20" s="152">
        <v>0.28899999999999998</v>
      </c>
      <c r="D20" s="121">
        <f t="shared" si="1"/>
        <v>4.5674778758980584E-3</v>
      </c>
      <c r="E20" s="156">
        <f>E19-((E19-E24)/5)</f>
        <v>397.82484338720002</v>
      </c>
      <c r="G20" s="24"/>
      <c r="I20" s="15"/>
      <c r="J20" s="154">
        <v>4.1999999999999997E-3</v>
      </c>
      <c r="K20">
        <f t="shared" si="2"/>
        <v>4.5674778758980584E-3</v>
      </c>
    </row>
    <row r="21" spans="1:12" x14ac:dyDescent="0.3">
      <c r="A21" s="119">
        <v>17</v>
      </c>
      <c r="B21" s="152">
        <v>4.2099999999999999E-2</v>
      </c>
      <c r="C21" s="152">
        <v>0.27679999999999999</v>
      </c>
      <c r="D21" s="121">
        <f t="shared" si="1"/>
        <v>4.3499789294267222E-3</v>
      </c>
      <c r="E21" s="156">
        <f>E19-(2*(E19-E24)/5)</f>
        <v>384.02674699792999</v>
      </c>
      <c r="J21" s="154">
        <v>4.0000000000000001E-3</v>
      </c>
      <c r="K21">
        <f t="shared" si="2"/>
        <v>4.3499789294267222E-3</v>
      </c>
    </row>
    <row r="22" spans="1:12" x14ac:dyDescent="0.3">
      <c r="A22" s="119">
        <v>18</v>
      </c>
      <c r="B22" s="152">
        <v>3.9399999999999998E-2</v>
      </c>
      <c r="C22" s="152">
        <v>0.2651</v>
      </c>
      <c r="D22" s="121">
        <f t="shared" si="1"/>
        <v>4.0237305097197184E-3</v>
      </c>
      <c r="E22" s="156">
        <f>E19-(3*(E19-E24)/5)</f>
        <v>370.22865060866002</v>
      </c>
      <c r="J22" s="154">
        <v>3.7000000000000002E-3</v>
      </c>
      <c r="K22">
        <f t="shared" si="2"/>
        <v>4.0237305097197184E-3</v>
      </c>
    </row>
    <row r="23" spans="1:12" x14ac:dyDescent="0.3">
      <c r="A23" s="119">
        <v>19</v>
      </c>
      <c r="B23" s="152">
        <v>3.6799999999999999E-2</v>
      </c>
      <c r="C23" s="152">
        <v>0.254</v>
      </c>
      <c r="D23" s="121">
        <f t="shared" si="1"/>
        <v>3.8062315632483822E-3</v>
      </c>
      <c r="E23" s="156">
        <f>E19-(4*(E19-E24)/5)</f>
        <v>356.43055421938999</v>
      </c>
      <c r="J23" s="154">
        <v>3.5000000000000001E-3</v>
      </c>
      <c r="K23">
        <f t="shared" si="2"/>
        <v>3.8062315632483822E-3</v>
      </c>
    </row>
    <row r="24" spans="1:12" s="146" customFormat="1" x14ac:dyDescent="0.3">
      <c r="A24" s="125">
        <v>20</v>
      </c>
      <c r="B24" s="151">
        <v>3.4299999999999997E-2</v>
      </c>
      <c r="C24" s="151">
        <v>0.24329999999999999</v>
      </c>
      <c r="D24" s="126">
        <f t="shared" si="1"/>
        <v>3.588732616777046E-3</v>
      </c>
      <c r="E24" s="155">
        <f>'[1]EMFAC2021ER-EMFAC2011Class-BayA'!$M$13</f>
        <v>342.63245783012002</v>
      </c>
      <c r="F24" s="149"/>
      <c r="J24" s="153">
        <v>3.3E-3</v>
      </c>
      <c r="K24" s="146">
        <f t="shared" si="2"/>
        <v>3.588732616777046E-3</v>
      </c>
    </row>
    <row r="25" spans="1:12" x14ac:dyDescent="0.3">
      <c r="A25" s="119">
        <v>21</v>
      </c>
      <c r="B25" s="152">
        <v>3.2500000000000001E-2</v>
      </c>
      <c r="C25" s="152">
        <v>0.2341</v>
      </c>
      <c r="D25" s="121">
        <f t="shared" si="1"/>
        <v>3.3712336703057098E-3</v>
      </c>
      <c r="E25" s="156">
        <f>E24-((E24-E29)/5)</f>
        <v>332.85546301851201</v>
      </c>
      <c r="J25" s="154">
        <v>3.0999999999999999E-3</v>
      </c>
      <c r="K25">
        <f t="shared" si="2"/>
        <v>3.3712336703057098E-3</v>
      </c>
    </row>
    <row r="26" spans="1:12" x14ac:dyDescent="0.3">
      <c r="A26" s="119">
        <v>22</v>
      </c>
      <c r="B26" s="152">
        <v>3.0700000000000002E-2</v>
      </c>
      <c r="C26" s="152">
        <v>0.2253</v>
      </c>
      <c r="D26" s="121">
        <f t="shared" si="1"/>
        <v>3.2624841970700417E-3</v>
      </c>
      <c r="E26" s="156">
        <f>E24-(2*(E24-E29)/5)</f>
        <v>323.07846820690401</v>
      </c>
      <c r="J26" s="154">
        <v>3.0000000000000001E-3</v>
      </c>
      <c r="K26">
        <f t="shared" si="2"/>
        <v>3.2624841970700417E-3</v>
      </c>
    </row>
    <row r="27" spans="1:12" x14ac:dyDescent="0.3">
      <c r="A27" s="119">
        <v>23</v>
      </c>
      <c r="B27" s="152">
        <v>2.9000000000000001E-2</v>
      </c>
      <c r="C27" s="152">
        <v>0.21679999999999999</v>
      </c>
      <c r="D27" s="121">
        <f t="shared" si="1"/>
        <v>3.0449852505987055E-3</v>
      </c>
      <c r="E27" s="156">
        <f>E24-(3*(E24-E29)/5)</f>
        <v>313.301473395296</v>
      </c>
      <c r="J27" s="154">
        <v>2.8E-3</v>
      </c>
      <c r="K27">
        <f t="shared" si="2"/>
        <v>3.0449852505987055E-3</v>
      </c>
    </row>
    <row r="28" spans="1:12" x14ac:dyDescent="0.3">
      <c r="A28" s="119">
        <v>24</v>
      </c>
      <c r="B28" s="152">
        <v>2.75E-2</v>
      </c>
      <c r="C28" s="152">
        <v>0.2087</v>
      </c>
      <c r="D28" s="121">
        <f t="shared" si="1"/>
        <v>2.9362357773630378E-3</v>
      </c>
      <c r="E28" s="156">
        <f>E24-(4*(E24-E29)/5)</f>
        <v>303.52447858368799</v>
      </c>
      <c r="J28" s="154">
        <v>2.7000000000000001E-3</v>
      </c>
      <c r="K28">
        <f t="shared" si="2"/>
        <v>2.9362357773630378E-3</v>
      </c>
    </row>
    <row r="29" spans="1:12" s="146" customFormat="1" x14ac:dyDescent="0.3">
      <c r="A29" s="125">
        <v>25</v>
      </c>
      <c r="B29" s="151">
        <v>2.5999999999999999E-2</v>
      </c>
      <c r="C29" s="151">
        <v>0.20080000000000001</v>
      </c>
      <c r="D29" s="126">
        <f t="shared" si="1"/>
        <v>2.7187368308917016E-3</v>
      </c>
      <c r="E29" s="155">
        <f>'[1]EMFAC2021ER-EMFAC2011Class-BayA'!$M$14</f>
        <v>293.74748377207999</v>
      </c>
      <c r="F29" s="149"/>
      <c r="J29" s="153">
        <v>2.5000000000000001E-3</v>
      </c>
      <c r="K29" s="146">
        <f t="shared" si="2"/>
        <v>2.7187368308917016E-3</v>
      </c>
    </row>
    <row r="30" spans="1:12" x14ac:dyDescent="0.3">
      <c r="A30" s="119">
        <v>26</v>
      </c>
      <c r="B30" s="152">
        <v>2.4799999999999999E-2</v>
      </c>
      <c r="C30" s="152">
        <v>0.19359999999999999</v>
      </c>
      <c r="D30" s="121">
        <f t="shared" si="1"/>
        <v>2.6099873576560331E-3</v>
      </c>
      <c r="E30" s="156">
        <f>E29-((E29-E34)/5)</f>
        <v>287.35459039083202</v>
      </c>
      <c r="J30" s="154">
        <v>2.3999999999999998E-3</v>
      </c>
      <c r="K30">
        <f t="shared" si="2"/>
        <v>2.6099873576560331E-3</v>
      </c>
    </row>
    <row r="31" spans="1:12" x14ac:dyDescent="0.3">
      <c r="A31" s="119">
        <v>27</v>
      </c>
      <c r="B31" s="152">
        <v>2.3699999999999999E-2</v>
      </c>
      <c r="C31" s="152">
        <v>0.18659999999999999</v>
      </c>
      <c r="D31" s="121">
        <f t="shared" si="1"/>
        <v>2.6099873576560331E-3</v>
      </c>
      <c r="E31" s="156">
        <f>E29-(2*(E29-E34)/5)</f>
        <v>280.96169700958399</v>
      </c>
      <c r="J31" s="154">
        <v>2.3999999999999998E-3</v>
      </c>
      <c r="K31">
        <f t="shared" si="2"/>
        <v>2.6099873576560331E-3</v>
      </c>
    </row>
    <row r="32" spans="1:12" x14ac:dyDescent="0.3">
      <c r="A32" s="119">
        <v>28</v>
      </c>
      <c r="B32" s="152">
        <v>2.2599999999999999E-2</v>
      </c>
      <c r="C32" s="152">
        <v>0.1799</v>
      </c>
      <c r="D32" s="121">
        <f t="shared" si="1"/>
        <v>2.5012378844203654E-3</v>
      </c>
      <c r="E32" s="156">
        <f>E29-(3*(E29-E34)/5)</f>
        <v>274.56880362833601</v>
      </c>
      <c r="J32" s="154">
        <v>2.3E-3</v>
      </c>
      <c r="K32">
        <f t="shared" si="2"/>
        <v>2.5012378844203654E-3</v>
      </c>
    </row>
    <row r="33" spans="1:11" x14ac:dyDescent="0.3">
      <c r="A33" s="119">
        <v>29</v>
      </c>
      <c r="B33" s="152">
        <v>2.1600000000000001E-2</v>
      </c>
      <c r="C33" s="152">
        <v>0.1734</v>
      </c>
      <c r="D33" s="121">
        <f t="shared" si="1"/>
        <v>2.3924884111846973E-3</v>
      </c>
      <c r="E33" s="156">
        <f>E29-(4*(E29-E34)/5)</f>
        <v>268.17591024708798</v>
      </c>
      <c r="J33" s="154">
        <v>2.2000000000000001E-3</v>
      </c>
      <c r="K33">
        <f t="shared" si="2"/>
        <v>2.3924884111846973E-3</v>
      </c>
    </row>
    <row r="34" spans="1:11" s="146" customFormat="1" x14ac:dyDescent="0.3">
      <c r="A34" s="125">
        <v>30</v>
      </c>
      <c r="B34" s="151">
        <v>2.06E-2</v>
      </c>
      <c r="C34" s="151">
        <v>0.1671</v>
      </c>
      <c r="D34" s="126">
        <f t="shared" si="1"/>
        <v>2.2837389379490292E-3</v>
      </c>
      <c r="E34" s="155">
        <f>'[1]EMFAC2021ER-EMFAC2011Class-BayA'!$M$15</f>
        <v>261.78301686584001</v>
      </c>
      <c r="F34" s="149"/>
      <c r="J34" s="153">
        <v>2.0999999999999999E-3</v>
      </c>
      <c r="K34" s="146">
        <f t="shared" si="2"/>
        <v>2.2837389379490292E-3</v>
      </c>
    </row>
    <row r="35" spans="1:11" x14ac:dyDescent="0.3">
      <c r="A35" s="119">
        <v>31</v>
      </c>
      <c r="B35" s="152">
        <v>1.9900000000000001E-2</v>
      </c>
      <c r="C35" s="152">
        <v>0.1615</v>
      </c>
      <c r="D35" s="121">
        <f t="shared" si="1"/>
        <v>2.1749894647133611E-3</v>
      </c>
      <c r="E35" s="156">
        <f>E34-((E34-E39)/5)</f>
        <v>258.037700130242</v>
      </c>
      <c r="J35" s="154">
        <v>2E-3</v>
      </c>
      <c r="K35">
        <f t="shared" si="2"/>
        <v>2.1749894647133611E-3</v>
      </c>
    </row>
    <row r="36" spans="1:11" x14ac:dyDescent="0.3">
      <c r="A36" s="119">
        <v>32</v>
      </c>
      <c r="B36" s="152">
        <v>1.9199999999999998E-2</v>
      </c>
      <c r="C36" s="152">
        <v>0.15620000000000001</v>
      </c>
      <c r="D36" s="121">
        <f t="shared" si="1"/>
        <v>2.1749894647133611E-3</v>
      </c>
      <c r="E36" s="156">
        <f>E34-(2*(E34-E39)/5)</f>
        <v>254.29238339464399</v>
      </c>
      <c r="J36" s="154">
        <v>2E-3</v>
      </c>
      <c r="K36">
        <f>J36*$H$6</f>
        <v>2.1749894647133611E-3</v>
      </c>
    </row>
    <row r="37" spans="1:11" x14ac:dyDescent="0.3">
      <c r="A37" s="119">
        <v>33</v>
      </c>
      <c r="B37" s="152">
        <v>1.8499999999999999E-2</v>
      </c>
      <c r="C37" s="152">
        <v>0.151</v>
      </c>
      <c r="D37" s="121">
        <f t="shared" si="1"/>
        <v>2.066239991477693E-3</v>
      </c>
      <c r="E37" s="156">
        <f>E34-(3*(E34-E39)/5)</f>
        <v>250.54706665904601</v>
      </c>
      <c r="J37" s="154">
        <v>1.9E-3</v>
      </c>
      <c r="K37">
        <f t="shared" si="2"/>
        <v>2.066239991477693E-3</v>
      </c>
    </row>
    <row r="38" spans="1:11" x14ac:dyDescent="0.3">
      <c r="A38" s="119">
        <v>34</v>
      </c>
      <c r="B38" s="152">
        <v>1.78E-2</v>
      </c>
      <c r="C38" s="152">
        <v>0.14599999999999999</v>
      </c>
      <c r="D38" s="121">
        <f t="shared" si="1"/>
        <v>2.066239991477693E-3</v>
      </c>
      <c r="E38" s="156">
        <f>E34-(4*(E34-E39)/5)</f>
        <v>246.801749923448</v>
      </c>
      <c r="J38" s="154">
        <v>1.9E-3</v>
      </c>
      <c r="K38">
        <f t="shared" si="2"/>
        <v>2.066239991477693E-3</v>
      </c>
    </row>
    <row r="39" spans="1:11" s="146" customFormat="1" x14ac:dyDescent="0.3">
      <c r="A39" s="125">
        <v>35</v>
      </c>
      <c r="B39" s="151">
        <v>1.72E-2</v>
      </c>
      <c r="C39" s="151">
        <v>0.1411</v>
      </c>
      <c r="D39" s="126">
        <f t="shared" si="1"/>
        <v>1.9574905182420249E-3</v>
      </c>
      <c r="E39" s="155">
        <f>'[1]EMFAC2021ER-EMFAC2011Class-BayA'!$M$16</f>
        <v>243.05643318784999</v>
      </c>
      <c r="F39" s="149"/>
      <c r="J39" s="153">
        <v>1.8E-3</v>
      </c>
      <c r="K39" s="146">
        <f t="shared" si="2"/>
        <v>1.9574905182420249E-3</v>
      </c>
    </row>
    <row r="40" spans="1:11" x14ac:dyDescent="0.3">
      <c r="A40" s="119">
        <v>36</v>
      </c>
      <c r="B40" s="152">
        <v>1.67E-2</v>
      </c>
      <c r="C40" s="152">
        <v>0.13719999999999999</v>
      </c>
      <c r="D40" s="121">
        <f t="shared" si="1"/>
        <v>1.9574905182420249E-3</v>
      </c>
      <c r="E40" s="156">
        <f>E39-((E39-E44)/5)</f>
        <v>241.480456796254</v>
      </c>
      <c r="J40" s="154">
        <v>1.8E-3</v>
      </c>
      <c r="K40">
        <f t="shared" si="2"/>
        <v>1.9574905182420249E-3</v>
      </c>
    </row>
    <row r="41" spans="1:11" x14ac:dyDescent="0.3">
      <c r="A41" s="119">
        <v>37</v>
      </c>
      <c r="B41" s="152">
        <v>1.6199999999999999E-2</v>
      </c>
      <c r="C41" s="152">
        <v>0.13339999999999999</v>
      </c>
      <c r="D41" s="121">
        <f t="shared" si="1"/>
        <v>1.9574905182420249E-3</v>
      </c>
      <c r="E41" s="156">
        <f>E39-(2*(E39-E44)/5)</f>
        <v>239.90448040465799</v>
      </c>
      <c r="J41" s="153">
        <v>1.8E-3</v>
      </c>
      <c r="K41">
        <f t="shared" si="2"/>
        <v>1.9574905182420249E-3</v>
      </c>
    </row>
    <row r="42" spans="1:11" x14ac:dyDescent="0.3">
      <c r="A42" s="119">
        <v>38</v>
      </c>
      <c r="B42" s="152">
        <v>1.5800000000000002E-2</v>
      </c>
      <c r="C42" s="152">
        <v>0.12970000000000001</v>
      </c>
      <c r="D42" s="121">
        <f t="shared" si="1"/>
        <v>1.9574905182420249E-3</v>
      </c>
      <c r="E42" s="156">
        <f>E39-(3*(E39-E44)/5)</f>
        <v>238.328504013062</v>
      </c>
      <c r="J42" s="154">
        <v>1.8E-3</v>
      </c>
      <c r="K42">
        <f t="shared" si="2"/>
        <v>1.9574905182420249E-3</v>
      </c>
    </row>
    <row r="43" spans="1:11" x14ac:dyDescent="0.3">
      <c r="A43" s="119">
        <v>39</v>
      </c>
      <c r="B43" s="152">
        <v>1.54E-2</v>
      </c>
      <c r="C43" s="152">
        <v>0.12609999999999999</v>
      </c>
      <c r="D43" s="121">
        <f t="shared" si="1"/>
        <v>1.8487410450063568E-3</v>
      </c>
      <c r="E43" s="156">
        <f>E39-(4*(E39-E44)/5)</f>
        <v>236.75252762146599</v>
      </c>
      <c r="J43" s="154">
        <v>1.6999999999999999E-3</v>
      </c>
      <c r="K43">
        <f t="shared" si="2"/>
        <v>1.8487410450063568E-3</v>
      </c>
    </row>
    <row r="44" spans="1:11" s="146" customFormat="1" x14ac:dyDescent="0.3">
      <c r="A44" s="125">
        <v>40</v>
      </c>
      <c r="B44" s="151">
        <v>1.49E-2</v>
      </c>
      <c r="C44" s="151">
        <v>0.1226</v>
      </c>
      <c r="D44" s="126">
        <f t="shared" si="1"/>
        <v>1.8487410450063568E-3</v>
      </c>
      <c r="E44" s="155">
        <f>'[1]EMFAC2021ER-EMFAC2011Class-BayA'!$M$17</f>
        <v>235.17655122987</v>
      </c>
      <c r="F44" s="149"/>
      <c r="J44" s="153">
        <v>1.6999999999999999E-3</v>
      </c>
      <c r="K44" s="146">
        <f t="shared" si="2"/>
        <v>1.8487410450063568E-3</v>
      </c>
    </row>
    <row r="45" spans="1:11" x14ac:dyDescent="0.3">
      <c r="A45" s="119">
        <v>41</v>
      </c>
      <c r="B45" s="152">
        <v>1.47E-2</v>
      </c>
      <c r="C45" s="152">
        <v>0.1203</v>
      </c>
      <c r="D45" s="121">
        <f t="shared" si="1"/>
        <v>1.8487410450063568E-3</v>
      </c>
      <c r="E45" s="156">
        <f>E44-((E44-E49)/5)</f>
        <v>235.32615565329399</v>
      </c>
      <c r="J45" s="154">
        <v>1.6999999999999999E-3</v>
      </c>
      <c r="K45">
        <f t="shared" si="2"/>
        <v>1.8487410450063568E-3</v>
      </c>
    </row>
    <row r="46" spans="1:11" x14ac:dyDescent="0.3">
      <c r="A46" s="119">
        <v>42</v>
      </c>
      <c r="B46" s="152">
        <v>1.44E-2</v>
      </c>
      <c r="C46" s="152">
        <v>0.11799999999999999</v>
      </c>
      <c r="D46" s="121">
        <f t="shared" si="1"/>
        <v>1.8487410450063568E-3</v>
      </c>
      <c r="E46" s="156">
        <f>E44-(2*(E44-E49)/5)</f>
        <v>235.47576007671799</v>
      </c>
      <c r="J46" s="153">
        <v>1.6999999999999999E-3</v>
      </c>
      <c r="K46">
        <f t="shared" si="2"/>
        <v>1.8487410450063568E-3</v>
      </c>
    </row>
    <row r="47" spans="1:11" x14ac:dyDescent="0.3">
      <c r="A47" s="119">
        <v>43</v>
      </c>
      <c r="B47" s="152">
        <v>1.41E-2</v>
      </c>
      <c r="C47" s="152">
        <v>0.1158</v>
      </c>
      <c r="D47" s="121">
        <f t="shared" si="1"/>
        <v>1.8487410450063568E-3</v>
      </c>
      <c r="E47" s="156">
        <f>E44-(3*(E44-E49)/5)</f>
        <v>235.62536450014201</v>
      </c>
      <c r="J47" s="154">
        <v>1.6999999999999999E-3</v>
      </c>
      <c r="K47">
        <f t="shared" si="2"/>
        <v>1.8487410450063568E-3</v>
      </c>
    </row>
    <row r="48" spans="1:11" x14ac:dyDescent="0.3">
      <c r="A48" s="119">
        <v>44</v>
      </c>
      <c r="B48" s="152">
        <v>1.3899999999999999E-2</v>
      </c>
      <c r="C48" s="152">
        <v>0.11360000000000001</v>
      </c>
      <c r="D48" s="121">
        <f t="shared" si="1"/>
        <v>1.8487410450063568E-3</v>
      </c>
      <c r="E48" s="156">
        <f>E44-(4*(E44-E49)/5)</f>
        <v>235.77496892356601</v>
      </c>
      <c r="J48" s="153">
        <v>1.6999999999999999E-3</v>
      </c>
      <c r="K48">
        <f t="shared" si="2"/>
        <v>1.8487410450063568E-3</v>
      </c>
    </row>
    <row r="49" spans="1:11" s="146" customFormat="1" x14ac:dyDescent="0.3">
      <c r="A49" s="125">
        <v>45</v>
      </c>
      <c r="B49" s="151">
        <v>1.3599999999999999E-2</v>
      </c>
      <c r="C49" s="151">
        <v>0.1115</v>
      </c>
      <c r="D49" s="126">
        <f t="shared" si="1"/>
        <v>1.8487410450063568E-3</v>
      </c>
      <c r="E49" s="155">
        <f>'[1]EMFAC2021ER-EMFAC2011Class-BayA'!$M$18</f>
        <v>235.92457334699</v>
      </c>
      <c r="F49" s="149"/>
      <c r="J49" s="154">
        <v>1.6999999999999999E-3</v>
      </c>
      <c r="K49" s="146">
        <f t="shared" si="2"/>
        <v>1.8487410450063568E-3</v>
      </c>
    </row>
    <row r="50" spans="1:11" x14ac:dyDescent="0.3">
      <c r="A50" s="119">
        <v>46</v>
      </c>
      <c r="B50" s="152">
        <v>1.35E-2</v>
      </c>
      <c r="C50" s="152">
        <v>0.11070000000000001</v>
      </c>
      <c r="D50" s="121">
        <f t="shared" si="1"/>
        <v>1.9574905182420249E-3</v>
      </c>
      <c r="E50" s="156">
        <f>E49-((E49-E54)/5)</f>
        <v>237.34970114617201</v>
      </c>
      <c r="J50" s="154">
        <v>1.8E-3</v>
      </c>
      <c r="K50">
        <f t="shared" si="2"/>
        <v>1.9574905182420249E-3</v>
      </c>
    </row>
    <row r="51" spans="1:11" x14ac:dyDescent="0.3">
      <c r="A51" s="119">
        <v>47</v>
      </c>
      <c r="B51" s="152">
        <v>1.34E-2</v>
      </c>
      <c r="C51" s="152">
        <v>0.1099</v>
      </c>
      <c r="D51" s="121">
        <f t="shared" si="1"/>
        <v>1.9574905182420249E-3</v>
      </c>
      <c r="E51" s="156">
        <f>E49-(2*(E49-E54)/5)</f>
        <v>238.77482894535402</v>
      </c>
      <c r="J51" s="154">
        <v>1.8E-3</v>
      </c>
      <c r="K51">
        <f t="shared" si="2"/>
        <v>1.9574905182420249E-3</v>
      </c>
    </row>
    <row r="52" spans="1:11" x14ac:dyDescent="0.3">
      <c r="A52" s="119">
        <v>48</v>
      </c>
      <c r="B52" s="152">
        <v>1.3299999999999999E-2</v>
      </c>
      <c r="C52" s="152">
        <v>0.1091</v>
      </c>
      <c r="D52" s="121">
        <f t="shared" si="1"/>
        <v>1.9574905182420249E-3</v>
      </c>
      <c r="E52" s="156">
        <f>E49-(3*(E49-E54)/5)</f>
        <v>240.199956744536</v>
      </c>
      <c r="J52" s="154">
        <v>1.8E-3</v>
      </c>
      <c r="K52">
        <f t="shared" si="2"/>
        <v>1.9574905182420249E-3</v>
      </c>
    </row>
    <row r="53" spans="1:11" x14ac:dyDescent="0.3">
      <c r="A53" s="119">
        <v>49</v>
      </c>
      <c r="B53" s="152">
        <v>1.32E-2</v>
      </c>
      <c r="C53" s="152">
        <v>0.1084</v>
      </c>
      <c r="D53" s="121">
        <f t="shared" si="1"/>
        <v>1.9574905182420249E-3</v>
      </c>
      <c r="E53" s="156">
        <f>E49-(4*(E49-E54)/5)</f>
        <v>241.625084543718</v>
      </c>
      <c r="J53" s="154">
        <v>1.8E-3</v>
      </c>
      <c r="K53">
        <f t="shared" si="2"/>
        <v>1.9574905182420249E-3</v>
      </c>
    </row>
    <row r="54" spans="1:11" s="146" customFormat="1" x14ac:dyDescent="0.3">
      <c r="A54" s="125">
        <v>50</v>
      </c>
      <c r="B54" s="151">
        <v>1.3100000000000001E-2</v>
      </c>
      <c r="C54" s="151">
        <v>0.1076</v>
      </c>
      <c r="D54" s="126">
        <f t="shared" si="1"/>
        <v>1.9574905182420249E-3</v>
      </c>
      <c r="E54" s="155">
        <f>'[1]EMFAC2021ER-EMFAC2011Class-BayA'!$M$19</f>
        <v>243.05021234290001</v>
      </c>
      <c r="F54" s="149"/>
      <c r="J54" s="153">
        <v>1.8E-3</v>
      </c>
      <c r="K54" s="146">
        <f t="shared" si="2"/>
        <v>1.9574905182420249E-3</v>
      </c>
    </row>
    <row r="55" spans="1:11" x14ac:dyDescent="0.3">
      <c r="A55" s="119">
        <v>51</v>
      </c>
      <c r="B55" s="152">
        <v>1.3100000000000001E-2</v>
      </c>
      <c r="C55" s="152">
        <v>0.10829999999999999</v>
      </c>
      <c r="D55" s="121">
        <f t="shared" si="1"/>
        <v>2.066239991477693E-3</v>
      </c>
      <c r="E55" s="156">
        <f>E54-((E54-E59)/5)</f>
        <v>245.00576539554001</v>
      </c>
      <c r="J55" s="154">
        <v>1.9E-3</v>
      </c>
      <c r="K55">
        <f t="shared" si="2"/>
        <v>2.066239991477693E-3</v>
      </c>
    </row>
    <row r="56" spans="1:11" x14ac:dyDescent="0.3">
      <c r="A56" s="119">
        <v>52</v>
      </c>
      <c r="B56" s="151">
        <v>1.3100000000000001E-2</v>
      </c>
      <c r="C56" s="152">
        <v>0.109</v>
      </c>
      <c r="D56" s="121">
        <f t="shared" si="1"/>
        <v>2.066239991477693E-3</v>
      </c>
      <c r="E56" s="156">
        <f>E54-(2*(E54-E59)/5)</f>
        <v>246.96131844818001</v>
      </c>
      <c r="J56" s="154">
        <v>1.9E-3</v>
      </c>
      <c r="K56">
        <f t="shared" si="2"/>
        <v>2.066239991477693E-3</v>
      </c>
    </row>
    <row r="57" spans="1:11" x14ac:dyDescent="0.3">
      <c r="A57" s="119">
        <v>53</v>
      </c>
      <c r="B57" s="152">
        <v>1.3100000000000001E-2</v>
      </c>
      <c r="C57" s="152">
        <v>0.1096</v>
      </c>
      <c r="D57" s="121">
        <f t="shared" si="1"/>
        <v>2.066239991477693E-3</v>
      </c>
      <c r="E57" s="156">
        <f>E54-(3*(E54-E59)/5)</f>
        <v>248.91687150082001</v>
      </c>
      <c r="J57" s="154">
        <v>1.9E-3</v>
      </c>
      <c r="K57">
        <f t="shared" si="2"/>
        <v>2.066239991477693E-3</v>
      </c>
    </row>
    <row r="58" spans="1:11" x14ac:dyDescent="0.3">
      <c r="A58" s="119">
        <v>54</v>
      </c>
      <c r="B58" s="151">
        <v>1.3100000000000001E-2</v>
      </c>
      <c r="C58" s="152">
        <v>0.1103</v>
      </c>
      <c r="D58" s="121">
        <f t="shared" si="1"/>
        <v>2.1749894647133611E-3</v>
      </c>
      <c r="E58" s="156">
        <f>E54-(4*(E54-E59)/5)</f>
        <v>250.87242455346001</v>
      </c>
      <c r="J58" s="154">
        <v>2E-3</v>
      </c>
      <c r="K58">
        <f t="shared" si="2"/>
        <v>2.1749894647133611E-3</v>
      </c>
    </row>
    <row r="59" spans="1:11" s="146" customFormat="1" x14ac:dyDescent="0.3">
      <c r="A59" s="125">
        <v>55</v>
      </c>
      <c r="B59" s="151">
        <v>1.32E-2</v>
      </c>
      <c r="C59" s="151">
        <v>0.111</v>
      </c>
      <c r="D59" s="126">
        <f t="shared" si="1"/>
        <v>2.1749894647133611E-3</v>
      </c>
      <c r="E59" s="155">
        <f>'[1]EMFAC2021ER-EMFAC2011Class-BayA'!$M$20</f>
        <v>252.82797760610001</v>
      </c>
      <c r="F59" s="149"/>
      <c r="J59" s="153">
        <v>2E-3</v>
      </c>
      <c r="K59" s="146">
        <f t="shared" si="2"/>
        <v>2.1749894647133611E-3</v>
      </c>
    </row>
    <row r="60" spans="1:11" x14ac:dyDescent="0.3">
      <c r="A60" s="119">
        <v>56</v>
      </c>
      <c r="B60" s="152">
        <v>1.3299999999999999E-2</v>
      </c>
      <c r="C60" s="152">
        <v>0.113</v>
      </c>
      <c r="D60" s="121">
        <f t="shared" si="1"/>
        <v>2.2837389379490292E-3</v>
      </c>
      <c r="E60" s="156">
        <f>E59-((E59-E64)/5)</f>
        <v>254.59188432582602</v>
      </c>
      <c r="J60" s="154">
        <v>2.0999999999999999E-3</v>
      </c>
      <c r="K60">
        <f t="shared" si="2"/>
        <v>2.2837389379490292E-3</v>
      </c>
    </row>
    <row r="61" spans="1:11" x14ac:dyDescent="0.3">
      <c r="A61" s="119">
        <v>57</v>
      </c>
      <c r="B61" s="152">
        <v>1.35E-2</v>
      </c>
      <c r="C61" s="152">
        <v>0.11509999999999999</v>
      </c>
      <c r="D61" s="121">
        <f t="shared" si="1"/>
        <v>2.2837389379490292E-3</v>
      </c>
      <c r="E61" s="156">
        <f>E59-(2*(E59-E64)/5)</f>
        <v>256.355791045552</v>
      </c>
      <c r="J61" s="154">
        <v>2.0999999999999999E-3</v>
      </c>
      <c r="K61">
        <f t="shared" si="2"/>
        <v>2.2837389379490292E-3</v>
      </c>
    </row>
    <row r="62" spans="1:11" x14ac:dyDescent="0.3">
      <c r="A62" s="119">
        <v>58</v>
      </c>
      <c r="B62" s="152">
        <v>1.3599999999999999E-2</v>
      </c>
      <c r="C62" s="152">
        <v>0.1172</v>
      </c>
      <c r="D62" s="121">
        <f t="shared" si="1"/>
        <v>2.3924884111846973E-3</v>
      </c>
      <c r="E62" s="156">
        <f>E59-(3*(E59-E64)/5)</f>
        <v>258.11969776527798</v>
      </c>
      <c r="J62" s="154">
        <v>2.2000000000000001E-3</v>
      </c>
      <c r="K62">
        <f t="shared" si="2"/>
        <v>2.3924884111846973E-3</v>
      </c>
    </row>
    <row r="63" spans="1:11" x14ac:dyDescent="0.3">
      <c r="A63" s="119">
        <v>59</v>
      </c>
      <c r="B63" s="152">
        <v>1.38E-2</v>
      </c>
      <c r="C63" s="152">
        <v>0.11940000000000001</v>
      </c>
      <c r="D63" s="121">
        <f t="shared" si="1"/>
        <v>2.5012378844203654E-3</v>
      </c>
      <c r="E63" s="156">
        <f>E59-(4*(E59-E64)/5)</f>
        <v>259.88360448500401</v>
      </c>
      <c r="J63" s="154">
        <v>2.3E-3</v>
      </c>
      <c r="K63">
        <f t="shared" si="2"/>
        <v>2.5012378844203654E-3</v>
      </c>
    </row>
    <row r="64" spans="1:11" s="146" customFormat="1" x14ac:dyDescent="0.3">
      <c r="A64" s="125">
        <v>60</v>
      </c>
      <c r="B64" s="151">
        <v>1.4E-2</v>
      </c>
      <c r="C64" s="151">
        <v>0.1215</v>
      </c>
      <c r="D64" s="126">
        <f t="shared" si="1"/>
        <v>2.5012378844203654E-3</v>
      </c>
      <c r="E64" s="155">
        <f>'[1]EMFAC2021ER-EMFAC2011Class-BayA'!$M$21</f>
        <v>261.64751120472999</v>
      </c>
      <c r="F64" s="149"/>
      <c r="J64" s="153">
        <v>2.3E-3</v>
      </c>
      <c r="K64" s="146">
        <f t="shared" si="2"/>
        <v>2.5012378844203654E-3</v>
      </c>
    </row>
    <row r="65" spans="1:12" x14ac:dyDescent="0.3">
      <c r="A65" s="119">
        <v>61</v>
      </c>
      <c r="B65" s="152">
        <v>1.43E-2</v>
      </c>
      <c r="C65" s="152">
        <v>0.1249</v>
      </c>
      <c r="D65" s="121">
        <f t="shared" si="1"/>
        <v>2.6099873576560331E-3</v>
      </c>
      <c r="E65" s="156">
        <f>E64-((E64-E69)/5)</f>
        <v>263.52438463948602</v>
      </c>
      <c r="J65" s="154">
        <v>2.3999999999999998E-3</v>
      </c>
      <c r="K65">
        <f t="shared" si="2"/>
        <v>2.6099873576560331E-3</v>
      </c>
    </row>
    <row r="66" spans="1:12" x14ac:dyDescent="0.3">
      <c r="A66" s="119">
        <v>62</v>
      </c>
      <c r="B66" s="152">
        <v>1.46E-2</v>
      </c>
      <c r="C66" s="152">
        <v>0.1283</v>
      </c>
      <c r="D66" s="121">
        <f t="shared" si="1"/>
        <v>2.7187368308917016E-3</v>
      </c>
      <c r="E66" s="156">
        <f>E64-(2*(E64-E69)/5)</f>
        <v>265.40125807424198</v>
      </c>
      <c r="J66" s="154">
        <v>2.5000000000000001E-3</v>
      </c>
      <c r="K66">
        <f t="shared" si="2"/>
        <v>2.7187368308917016E-3</v>
      </c>
    </row>
    <row r="67" spans="1:12" x14ac:dyDescent="0.3">
      <c r="A67" s="119">
        <v>63</v>
      </c>
      <c r="B67" s="152">
        <v>1.49E-2</v>
      </c>
      <c r="C67" s="152">
        <v>0.1318</v>
      </c>
      <c r="D67" s="121">
        <f t="shared" si="1"/>
        <v>2.8274863041273693E-3</v>
      </c>
      <c r="E67" s="156">
        <f>E64-(3*(E64-E69)/5)</f>
        <v>267.278131508998</v>
      </c>
      <c r="J67" s="154">
        <v>2.5999999999999999E-3</v>
      </c>
      <c r="K67">
        <f t="shared" si="2"/>
        <v>2.8274863041273693E-3</v>
      </c>
    </row>
    <row r="68" spans="1:12" x14ac:dyDescent="0.3">
      <c r="A68" s="119">
        <v>64</v>
      </c>
      <c r="B68" s="152">
        <v>1.5299999999999999E-2</v>
      </c>
      <c r="C68" s="152">
        <v>0.13550000000000001</v>
      </c>
      <c r="D68" s="121">
        <f t="shared" si="1"/>
        <v>2.9362357773630378E-3</v>
      </c>
      <c r="E68" s="156">
        <f>E64-(4*(E64-E69)/5)</f>
        <v>269.15500494375397</v>
      </c>
      <c r="J68" s="154">
        <v>2.7000000000000001E-3</v>
      </c>
      <c r="K68">
        <f t="shared" si="2"/>
        <v>2.9362357773630378E-3</v>
      </c>
    </row>
    <row r="69" spans="1:12" s="146" customFormat="1" ht="13.5" thickBot="1" x14ac:dyDescent="0.35">
      <c r="A69" s="127">
        <v>65</v>
      </c>
      <c r="B69" s="128">
        <v>1.5599999999999999E-2</v>
      </c>
      <c r="C69" s="128">
        <v>0.13919999999999999</v>
      </c>
      <c r="D69" s="128">
        <f t="shared" si="1"/>
        <v>2.9362357773630378E-3</v>
      </c>
      <c r="E69" s="157">
        <f>'[1]EMFAC2021ER-EMFAC2011Class-BayA'!$M$22</f>
        <v>271.03187837850999</v>
      </c>
      <c r="F69" s="149"/>
      <c r="J69" s="153">
        <v>2.7000000000000001E-3</v>
      </c>
      <c r="K69" s="146">
        <f t="shared" si="2"/>
        <v>2.9362357773630378E-3</v>
      </c>
    </row>
    <row r="70" spans="1:12" x14ac:dyDescent="0.3">
      <c r="A70" s="98"/>
      <c r="B70" s="100"/>
      <c r="C70" s="100"/>
      <c r="D70" s="100"/>
      <c r="E70" s="99"/>
    </row>
    <row r="71" spans="1:12" x14ac:dyDescent="0.3">
      <c r="A71" s="106" t="s">
        <v>5</v>
      </c>
      <c r="B71" s="107"/>
      <c r="C71" s="107"/>
      <c r="D71" s="107"/>
      <c r="E71" s="107"/>
      <c r="F71" s="150"/>
      <c r="G71" s="107"/>
      <c r="H71" s="107"/>
      <c r="I71" s="107"/>
      <c r="J71" s="107"/>
      <c r="K71" s="107"/>
      <c r="L71" s="107"/>
    </row>
    <row r="72" spans="1:12" x14ac:dyDescent="0.3">
      <c r="A72" t="s">
        <v>160</v>
      </c>
    </row>
    <row r="73" spans="1:12" x14ac:dyDescent="0.3">
      <c r="A73" t="s">
        <v>89</v>
      </c>
    </row>
    <row r="75" spans="1:12" x14ac:dyDescent="0.3">
      <c r="A75" s="138" t="s">
        <v>161</v>
      </c>
      <c r="B75" s="118"/>
    </row>
    <row r="76" spans="1:12" x14ac:dyDescent="0.3">
      <c r="A76" s="188" t="s">
        <v>162</v>
      </c>
      <c r="B76" s="118"/>
    </row>
    <row r="77" spans="1:12" x14ac:dyDescent="0.3">
      <c r="A77" s="107"/>
      <c r="B77" s="107"/>
      <c r="C77" s="107"/>
      <c r="D77" s="107"/>
      <c r="E77" s="107"/>
      <c r="F77" s="150"/>
      <c r="G77" s="107"/>
      <c r="H77" s="107"/>
      <c r="I77" s="107"/>
      <c r="J77" s="107"/>
      <c r="K77" s="107"/>
      <c r="L77" s="107"/>
    </row>
    <row r="78" spans="1:12" x14ac:dyDescent="0.3">
      <c r="A78" s="107" t="s">
        <v>96</v>
      </c>
      <c r="B78" s="107"/>
      <c r="C78" s="107"/>
      <c r="D78" s="107"/>
      <c r="E78" s="107"/>
      <c r="F78" s="150"/>
      <c r="G78" s="107"/>
      <c r="H78" s="107"/>
      <c r="I78" s="107"/>
      <c r="J78" s="107"/>
      <c r="K78" s="107"/>
      <c r="L78" s="107"/>
    </row>
    <row r="79" spans="1:12" x14ac:dyDescent="0.3">
      <c r="A79" s="107"/>
    </row>
    <row r="80" spans="1:12" x14ac:dyDescent="0.3">
      <c r="A80" s="107"/>
    </row>
    <row r="84" spans="1:1" x14ac:dyDescent="0.3">
      <c r="A84" s="101"/>
    </row>
  </sheetData>
  <sheetProtection algorithmName="SHA-512" hashValue="i+hDOWHh5zs/LMD22nC/fv6/YXc2s/mAWr1aB1uot/2xO7FaRBPIwqjSb9r0fVXZPlfluMuevzrCgXnH36W4Tg==" saltValue="6jQOTW8qxMrofTO6wekR3w==" spinCount="100000" sheet="1" objects="1" scenarios="1"/>
  <phoneticPr fontId="18" type="noConversion"/>
  <pageMargins left="0.75" right="0.75" top="1" bottom="1" header="0.5" footer="0.5"/>
  <pageSetup scale="76" fitToHeight="0" orientation="portrait" r:id="rId1"/>
  <headerFooter alignWithMargins="0"/>
  <customProperties>
    <customPr name="fbd6e4712"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7F96852DA00B498504A1DA5F437095" ma:contentTypeVersion="22" ma:contentTypeDescription="Create a new document." ma:contentTypeScope="" ma:versionID="53194ccccf07f6bc7d6bb4efa2c66f21">
  <xsd:schema xmlns:xsd="http://www.w3.org/2001/XMLSchema" xmlns:xs="http://www.w3.org/2001/XMLSchema" xmlns:p="http://schemas.microsoft.com/office/2006/metadata/properties" xmlns:ns1="http://schemas.microsoft.com/sharepoint/v3" xmlns:ns2="f5845160-6387-4115-ac44-b2ebe70f2e1c" xmlns:ns3="ed4a2a8d-b2d0-4bf7-91be-b870981496b0" targetNamespace="http://schemas.microsoft.com/office/2006/metadata/properties" ma:root="true" ma:fieldsID="6a6d63373319c11c0c437caeff4801a0" ns1:_="" ns2:_="" ns3:_="">
    <xsd:import namespace="http://schemas.microsoft.com/sharepoint/v3"/>
    <xsd:import namespace="f5845160-6387-4115-ac44-b2ebe70f2e1c"/>
    <xsd:import namespace="ed4a2a8d-b2d0-4bf7-91be-b870981496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RoutingT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45160-6387-4115-ac44-b2ebe70f2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outingTO" ma:index="22" nillable="true" ma:displayName="Routing TO" ma:description="Which person is this item currently routed to?" ma:format="Dropdown" ma:list="UserInfo" ma:SharePointGroup="0" ma:internalName="Routing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a2a8d-b2d0-4bf7-91be-b870981496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cf1c1fb-9345-4fa6-8621-9e5d3edc3c42}" ma:internalName="TaxCatchAll" ma:showField="CatchAllData" ma:web="ed4a2a8d-b2d0-4bf7-91be-b870981496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outingTO xmlns="f5845160-6387-4115-ac44-b2ebe70f2e1c">
      <UserInfo>
        <DisplayName/>
        <AccountId xsi:nil="true"/>
        <AccountType/>
      </UserInfo>
    </RoutingTO>
    <_ip_UnifiedCompliancePolicyProperties xmlns="http://schemas.microsoft.com/sharepoint/v3" xsi:nil="true"/>
    <TaxCatchAll xmlns="ed4a2a8d-b2d0-4bf7-91be-b870981496b0" xsi:nil="true"/>
    <lcf76f155ced4ddcb4097134ff3c332f xmlns="f5845160-6387-4115-ac44-b2ebe70f2e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FFB43D-66DE-4FB1-BB30-FBBF3C7C45B3}"/>
</file>

<file path=customXml/itemProps2.xml><?xml version="1.0" encoding="utf-8"?>
<ds:datastoreItem xmlns:ds="http://schemas.openxmlformats.org/officeDocument/2006/customXml" ds:itemID="{47499A58-F69D-4496-B671-83076934E658}"/>
</file>

<file path=customXml/itemProps3.xml><?xml version="1.0" encoding="utf-8"?>
<ds:datastoreItem xmlns:ds="http://schemas.openxmlformats.org/officeDocument/2006/customXml" ds:itemID="{AF0A19E9-7843-4C9F-BD88-7AAC79A695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40</vt:i4>
      </vt:variant>
    </vt:vector>
  </HeadingPairs>
  <TitlesOfParts>
    <vt:vector size="45" baseType="lpstr">
      <vt:lpstr>Instructions</vt:lpstr>
      <vt:lpstr>Gen'l Info</vt:lpstr>
      <vt:lpstr>CE Calc</vt:lpstr>
      <vt:lpstr>Notes &amp; Assumptions</vt:lpstr>
      <vt:lpstr>Emission Factors</vt:lpstr>
      <vt:lpstr>Annual_CO2_Emissions</vt:lpstr>
      <vt:lpstr>Annual_Emission_Reductions_ROG_NOx_PM</vt:lpstr>
      <vt:lpstr>Annual_NOx_Emissions</vt:lpstr>
      <vt:lpstr>Annual_PM_Emissions</vt:lpstr>
      <vt:lpstr>Annual_ROG_Emissions</vt:lpstr>
      <vt:lpstr>Annual_Trips_Reduced</vt:lpstr>
      <vt:lpstr>Annual_VMT_Reduction</vt:lpstr>
      <vt:lpstr>Annual_Weighted_PM_Emissions</vt:lpstr>
      <vt:lpstr>Avg._Vehicle_Trip_Length</vt:lpstr>
      <vt:lpstr>Disadvantaged_Community_Points</vt:lpstr>
      <vt:lpstr>Lifetime_CO2_Emissions</vt:lpstr>
      <vt:lpstr>Lifetime_Emission_Reductions_ROG_NOx_PM</vt:lpstr>
      <vt:lpstr>Lifetime_NOx_Emissions</vt:lpstr>
      <vt:lpstr>Lifetime_PM_Emissions</vt:lpstr>
      <vt:lpstr>Lifetime_ROG_Emissions</vt:lpstr>
      <vt:lpstr>Lifetime_Trips_Reduced</vt:lpstr>
      <vt:lpstr>Lifetime_VMT_Reduction</vt:lpstr>
      <vt:lpstr>Lifetime_Weighted_PM_Emissions</vt:lpstr>
      <vt:lpstr>Local_Clean_Air_Planning_Points</vt:lpstr>
      <vt:lpstr>Other_Project_Attributes_Points</vt:lpstr>
      <vt:lpstr>'CE Calc'!Print_Area</vt:lpstr>
      <vt:lpstr>Instructions!Print_Area</vt:lpstr>
      <vt:lpstr>Project_Sponsor_City</vt:lpstr>
      <vt:lpstr>Project_Sponsor_City_Zip</vt:lpstr>
      <vt:lpstr>Project_Sponsor_Email</vt:lpstr>
      <vt:lpstr>Project_Sponsor_Zip</vt:lpstr>
      <vt:lpstr>Project_Sponsor_Zip_Code</vt:lpstr>
      <vt:lpstr>Project_Type_Code</vt:lpstr>
      <vt:lpstr>Promote_Alternative_Transportation_Modes</vt:lpstr>
      <vt:lpstr>Public_Private</vt:lpstr>
      <vt:lpstr>TFCA_Cost_40_Percent</vt:lpstr>
      <vt:lpstr>TFCA_Cost_60_Percent</vt:lpstr>
      <vt:lpstr>TFCA_Cost_Effectiveness</vt:lpstr>
      <vt:lpstr>TFCA_Funding_Effectiveness_Points</vt:lpstr>
      <vt:lpstr>TFCA_Weighted_Cost_Effectiveness</vt:lpstr>
      <vt:lpstr>Total_Cost_Effectiveness</vt:lpstr>
      <vt:lpstr>Total_Points</vt:lpstr>
      <vt:lpstr>Total_Project_Cost</vt:lpstr>
      <vt:lpstr>Total_TFCA_Cost</vt:lpstr>
      <vt:lpstr>Yrs_Effectiveness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Hui</dc:creator>
  <cp:lastModifiedBy>Jason Newman</cp:lastModifiedBy>
  <cp:lastPrinted>2014-12-19T23:53:11Z</cp:lastPrinted>
  <dcterms:created xsi:type="dcterms:W3CDTF">1999-01-19T19:08:01Z</dcterms:created>
  <dcterms:modified xsi:type="dcterms:W3CDTF">2026-02-10T02:11:35Z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el_type">
    <vt:lpwstr>GrantRequest</vt:lpwstr>
  </property>
  <property fmtid="{D5CDD505-2E9C-101B-9397-08002B2CF9AE}" pid="3" name="hd943e9f2">
    <vt:lpwstr>{"st":1,"snapHeaders":true,"column":1,"row":1,"isHeaderVisible":true}</vt:lpwstr>
  </property>
  <property fmtid="{D5CDD505-2E9C-101B-9397-08002B2CF9AE}" pid="4" name="hf53a6af9">
    <vt:lpwstr>{"st":2,"snapHeaders":true,"column":1,"row":1,"isHeaderVisible":true}</vt:lpwstr>
  </property>
  <property fmtid="{D5CDD505-2E9C-101B-9397-08002B2CF9AE}" pid="5" name="h7bae8932">
    <vt:lpwstr>{"st":3,"snapHeaders":true,"column":1,"row":1,"isHeaderVisible":true}</vt:lpwstr>
  </property>
  <property fmtid="{D5CDD505-2E9C-101B-9397-08002B2CF9AE}" pid="6" name="h368f0114">
    <vt:lpwstr>{"st":4,"snapHeaders":true,"column":1,"row":1,"isHeaderVisible":true}</vt:lpwstr>
  </property>
  <property fmtid="{D5CDD505-2E9C-101B-9397-08002B2CF9AE}" pid="7" name="hbd6e4712">
    <vt:lpwstr>{"st":5,"snapHeaders":true,"column":1,"row":1,"isHeaderVisible":true}</vt:lpwstr>
  </property>
  <property fmtid="{D5CDD505-2E9C-101B-9397-08002B2CF9AE}" pid="8" name="version">
    <vt:lpwstr>33.1.0</vt:lpwstr>
  </property>
  <property fmtid="{D5CDD505-2E9C-101B-9397-08002B2CF9AE}" pid="9" name="ContentTypeId">
    <vt:lpwstr>0x010100287F96852DA00B498504A1DA5F437095</vt:lpwstr>
  </property>
</Properties>
</file>