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G:\Env_Rev\Grant Programs\TFCA PROGRAM\WORKSHTS\EXCEL\2024\"/>
    </mc:Choice>
  </mc:AlternateContent>
  <xr:revisionPtr revIDLastSave="0" documentId="13_ncr:1_{9F4F8CCF-8B28-4924-8F32-2BDF33C51405}" xr6:coauthVersionLast="47" xr6:coauthVersionMax="47" xr10:uidLastSave="{00000000-0000-0000-0000-000000000000}"/>
  <workbookProtection workbookAlgorithmName="SHA-512" workbookHashValue="R9KwXuSMNpH7YJk4Z/hcU3Fzg2kKVnlRAHlRm2xRO90yOGpMEOS8ipNw8gs1lDA8KUPJdupIHb0oc903P/AbBQ==" workbookSaltValue="qP1xYWtFUX7NSfFVL1SPDw==" workbookSpinCount="100000" lockStructure="1"/>
  <bookViews>
    <workbookView xWindow="1103" yWindow="1103" windowWidth="15390" windowHeight="9532" xr2:uid="{00000000-000D-0000-FFFF-FFFF00000000}"/>
  </bookViews>
  <sheets>
    <sheet name="Instructions" sheetId="6" r:id="rId1"/>
    <sheet name="Gen'l Info" sheetId="5" r:id="rId2"/>
    <sheet name="CE Calc" sheetId="1" r:id="rId3"/>
    <sheet name="Notes &amp; Assumptions" sheetId="2" r:id="rId4"/>
    <sheet name="Emission Factors" sheetId="7" r:id="rId5"/>
  </sheets>
  <definedNames>
    <definedName name="Annual_CO2_Emissions">'CE Calc'!$D$31</definedName>
    <definedName name="Annual_Emission_Reductions_ROG_NOx_PM">'CE Calc'!$D$32</definedName>
    <definedName name="Annual_NOx_Emissions">'CE Calc'!$D$28</definedName>
    <definedName name="Annual_PM_Emissions">'CE Calc'!$D$29</definedName>
    <definedName name="Annual_ROG_Emissions">'CE Calc'!$D$27</definedName>
    <definedName name="Annual_Trips_Reduced">'CE Calc'!$P$28</definedName>
    <definedName name="Annual_VMT_Reduction">'CE Calc'!$P$27</definedName>
    <definedName name="Annual_Weighted_PM_Emissions">'CE Calc'!$D$30</definedName>
    <definedName name="Application_Number">'CE Calc'!#REF!</definedName>
    <definedName name="Avg._Vehicle_Trip_Length">'Emission Factors'!$H$7</definedName>
    <definedName name="BVMT">'CE Calc'!#REF!</definedName>
    <definedName name="BVMTNOxfactor">'CE Calc'!#REF!</definedName>
    <definedName name="BVMTPM10factor">'CE Calc'!#REF!</definedName>
    <definedName name="BVMTROGfactor">'CE Calc'!#REF!</definedName>
    <definedName name="CoFund">'CE Calc'!#REF!</definedName>
    <definedName name="Disadvantaged_Community_Points">'CE Calc'!$K$31</definedName>
    <definedName name="DisVMT">'CE Calc'!#REF!</definedName>
    <definedName name="DVMTNOxfactor">'CE Calc'!#REF!</definedName>
    <definedName name="DVMTROGfactor">'CE Calc'!#REF!</definedName>
    <definedName name="Final_Report_Date_PM">'CE Calc'!#REF!</definedName>
    <definedName name="Incremental_Cost">'CE Calc'!#REF!</definedName>
    <definedName name="Lifetime_CO2_Emissions">'CE Calc'!$E$31</definedName>
    <definedName name="Lifetime_Emission_Reductions_ROG_NOx">'CE Calc'!#REF!</definedName>
    <definedName name="Lifetime_Emission_Reductions_ROG_NOx_PM">'CE Calc'!$E$32</definedName>
    <definedName name="Lifetime_NOx_Emissions">'CE Calc'!$E$28</definedName>
    <definedName name="Lifetime_PM_Emissions">'CE Calc'!$E$29</definedName>
    <definedName name="Lifetime_ROG_Emissions">'CE Calc'!$E$27</definedName>
    <definedName name="Lifetime_Trips_Reduced">'CE Calc'!$Q$28</definedName>
    <definedName name="Lifetime_VMT_Reduction">'CE Calc'!$Q$27</definedName>
    <definedName name="Lifetime_Weighted_PM_Emissions">'CE Calc'!$E$30</definedName>
    <definedName name="Local_Clean_Air_Planning_Points">'CE Calc'!$K$30</definedName>
    <definedName name="NOx_Emissions_W_Project">'CE Calc'!#REF!</definedName>
    <definedName name="NOx_Emissions_WO_Project">'CE Calc'!#REF!</definedName>
    <definedName name="Other_Project_Attributes_Points">'CE Calc'!$K$29</definedName>
    <definedName name="_xlnm.Print_Area" localSheetId="2">'CE Calc'!$A$1:$L$36</definedName>
    <definedName name="_xlnm.Print_Area" localSheetId="0">Instructions!$A$2:$L$57</definedName>
    <definedName name="Project_Sponsor">'CE Calc'!#REF!</definedName>
    <definedName name="Project_Sponsor_Address">'CE Calc'!#REF!</definedName>
    <definedName name="Project_Sponsor_City">'CE Calc'!$G$10</definedName>
    <definedName name="Project_Sponsor_City_Zip">'CE Calc'!$G$10</definedName>
    <definedName name="Project_Sponsor_Contact">'CE Calc'!#REF!</definedName>
    <definedName name="Project_Sponsor_Email">'CE Calc'!$G$9</definedName>
    <definedName name="Project_Sponsor_Phone_Number">'CE Calc'!#REF!</definedName>
    <definedName name="Project_Sponsor_Zip">'CE Calc'!$F$11</definedName>
    <definedName name="Project_Sponsor_Zip_Code">'CE Calc'!$F$11</definedName>
    <definedName name="Project_Start_Date">'CE Calc'!#REF!</definedName>
    <definedName name="Project_Title">'CE Calc'!#REF!</definedName>
    <definedName name="Project_Type_Code">'CE Calc'!$G$7</definedName>
    <definedName name="Promote_Alternative_Transportation_Modes">'CE Calc'!$K$33</definedName>
    <definedName name="Public_Private">'CE Calc'!$I$51</definedName>
    <definedName name="ROG_Emissions_W_Project">'CE Calc'!#REF!</definedName>
    <definedName name="ROG_Emissions_WO_Project">'CE Calc'!#REF!</definedName>
    <definedName name="TFCA_Cost_40_Percent">'CE Calc'!$C$10</definedName>
    <definedName name="TFCA_Cost_60_Percent">'CE Calc'!$C$11</definedName>
    <definedName name="TFCA_Cost_Effectiveness">'CE Calc'!$E$33</definedName>
    <definedName name="TFCA_Funding_Effectiveness_Points">'CE Calc'!$K$28</definedName>
    <definedName name="TFCA_Weighted_Cost_Effectiveness">'CE Calc'!$E$34</definedName>
    <definedName name="Total_Cost_Effectiveness">'CE Calc'!$E$34</definedName>
    <definedName name="Total_Points">'CE Calc'!$K$34</definedName>
    <definedName name="Total_Project_Cost">'CE Calc'!$C$9</definedName>
    <definedName name="Total_TFCA_Cost">'CE Calc'!$C$12</definedName>
    <definedName name="Yrs_Effectiveness">'CE Calc'!$C$8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7" l="1"/>
  <c r="M17" i="1"/>
  <c r="K36" i="7"/>
  <c r="D36" i="7" s="1"/>
  <c r="K10" i="7"/>
  <c r="D10" i="7"/>
  <c r="K9" i="7"/>
  <c r="D9" i="7"/>
  <c r="M21" i="1"/>
  <c r="O21" i="1"/>
  <c r="S21" i="1"/>
  <c r="K11" i="7"/>
  <c r="D11" i="7" s="1"/>
  <c r="K12" i="7"/>
  <c r="D12" i="7" s="1"/>
  <c r="K13" i="7"/>
  <c r="D13" i="7" s="1"/>
  <c r="K14" i="7"/>
  <c r="D14" i="7"/>
  <c r="K15" i="7"/>
  <c r="D15" i="7"/>
  <c r="K16" i="7"/>
  <c r="D16" i="7"/>
  <c r="K17" i="7"/>
  <c r="D17" i="7"/>
  <c r="K18" i="7"/>
  <c r="D18" i="7"/>
  <c r="K19" i="7"/>
  <c r="D19" i="7"/>
  <c r="K20" i="7"/>
  <c r="D20" i="7"/>
  <c r="K21" i="7"/>
  <c r="D21" i="7"/>
  <c r="K22" i="7"/>
  <c r="D22" i="7"/>
  <c r="K23" i="7"/>
  <c r="D23" i="7"/>
  <c r="K24" i="7"/>
  <c r="D24" i="7"/>
  <c r="K25" i="7"/>
  <c r="D25" i="7"/>
  <c r="K26" i="7"/>
  <c r="D26" i="7"/>
  <c r="K27" i="7"/>
  <c r="D27" i="7"/>
  <c r="K28" i="7"/>
  <c r="D28" i="7" s="1"/>
  <c r="U17" i="1" s="1"/>
  <c r="K29" i="7"/>
  <c r="D29" i="7" s="1"/>
  <c r="K30" i="7"/>
  <c r="D30" i="7" s="1"/>
  <c r="K31" i="7"/>
  <c r="D31" i="7" s="1"/>
  <c r="K32" i="7"/>
  <c r="D32" i="7" s="1"/>
  <c r="K33" i="7"/>
  <c r="D33" i="7" s="1"/>
  <c r="K34" i="7"/>
  <c r="D34" i="7"/>
  <c r="K35" i="7"/>
  <c r="D35" i="7" s="1"/>
  <c r="K37" i="7"/>
  <c r="D37" i="7" s="1"/>
  <c r="K38" i="7"/>
  <c r="D38" i="7" s="1"/>
  <c r="N18" i="1"/>
  <c r="P18" i="1"/>
  <c r="M18" i="1"/>
  <c r="O18" i="1"/>
  <c r="Q18" i="1"/>
  <c r="H18" i="1"/>
  <c r="C12" i="1"/>
  <c r="E16" i="7"/>
  <c r="K39" i="7"/>
  <c r="D39" i="7"/>
  <c r="K40" i="7"/>
  <c r="D40" i="7"/>
  <c r="K41" i="7"/>
  <c r="D41" i="7"/>
  <c r="K42" i="7"/>
  <c r="D42" i="7" s="1"/>
  <c r="K43" i="7"/>
  <c r="D43" i="7" s="1"/>
  <c r="K44" i="7"/>
  <c r="D44" i="7"/>
  <c r="K45" i="7"/>
  <c r="D45" i="7" s="1"/>
  <c r="K46" i="7"/>
  <c r="D46" i="7"/>
  <c r="K47" i="7"/>
  <c r="D47" i="7" s="1"/>
  <c r="K48" i="7"/>
  <c r="D48" i="7" s="1"/>
  <c r="K49" i="7"/>
  <c r="D49" i="7" s="1"/>
  <c r="K50" i="7"/>
  <c r="D50" i="7"/>
  <c r="K51" i="7"/>
  <c r="D51" i="7"/>
  <c r="K52" i="7"/>
  <c r="D52" i="7"/>
  <c r="K53" i="7"/>
  <c r="D53" i="7"/>
  <c r="K54" i="7"/>
  <c r="D54" i="7"/>
  <c r="K55" i="7"/>
  <c r="D55" i="7" s="1"/>
  <c r="K56" i="7"/>
  <c r="D56" i="7"/>
  <c r="K57" i="7"/>
  <c r="D57" i="7" s="1"/>
  <c r="K58" i="7"/>
  <c r="D58" i="7" s="1"/>
  <c r="K59" i="7"/>
  <c r="D59" i="7" s="1"/>
  <c r="K60" i="7"/>
  <c r="D60" i="7"/>
  <c r="K61" i="7"/>
  <c r="D61" i="7" s="1"/>
  <c r="K62" i="7"/>
  <c r="D62" i="7"/>
  <c r="K63" i="7"/>
  <c r="D63" i="7" s="1"/>
  <c r="K64" i="7"/>
  <c r="D64" i="7" s="1"/>
  <c r="K65" i="7"/>
  <c r="D65" i="7" s="1"/>
  <c r="K66" i="7"/>
  <c r="D66" i="7"/>
  <c r="K67" i="7"/>
  <c r="D67" i="7" s="1"/>
  <c r="K68" i="7"/>
  <c r="D68" i="7" s="1"/>
  <c r="K69" i="7"/>
  <c r="D69" i="7"/>
  <c r="E68" i="7"/>
  <c r="E67" i="7"/>
  <c r="E66" i="7"/>
  <c r="E65" i="7"/>
  <c r="E63" i="7"/>
  <c r="E62" i="7"/>
  <c r="E61" i="7"/>
  <c r="E60" i="7"/>
  <c r="E58" i="7"/>
  <c r="E57" i="7"/>
  <c r="E56" i="7"/>
  <c r="E55" i="7"/>
  <c r="E53" i="7"/>
  <c r="E52" i="7"/>
  <c r="E51" i="7"/>
  <c r="E50" i="7"/>
  <c r="E48" i="7"/>
  <c r="E47" i="7"/>
  <c r="E46" i="7"/>
  <c r="E45" i="7"/>
  <c r="E43" i="7"/>
  <c r="E42" i="7"/>
  <c r="E41" i="7"/>
  <c r="E40" i="7"/>
  <c r="E37" i="7"/>
  <c r="E36" i="7"/>
  <c r="E35" i="7"/>
  <c r="E33" i="7"/>
  <c r="E32" i="7"/>
  <c r="E31" i="7"/>
  <c r="E30" i="7"/>
  <c r="E28" i="7"/>
  <c r="E27" i="7"/>
  <c r="E26" i="7"/>
  <c r="E25" i="7"/>
  <c r="E23" i="7"/>
  <c r="E22" i="7"/>
  <c r="E21" i="7"/>
  <c r="E20" i="7"/>
  <c r="E18" i="7"/>
  <c r="E17" i="7"/>
  <c r="E15" i="7"/>
  <c r="E13" i="7"/>
  <c r="E12" i="7"/>
  <c r="E11" i="7"/>
  <c r="E10" i="7"/>
  <c r="M19" i="1"/>
  <c r="O19" i="1"/>
  <c r="N19" i="1"/>
  <c r="P19" i="1"/>
  <c r="M20" i="1"/>
  <c r="N20" i="1"/>
  <c r="P20" i="1"/>
  <c r="N21" i="1"/>
  <c r="V21" i="1"/>
  <c r="M22" i="1"/>
  <c r="O22" i="1"/>
  <c r="S22" i="1"/>
  <c r="N22" i="1"/>
  <c r="P22" i="1"/>
  <c r="M23" i="1"/>
  <c r="N23" i="1"/>
  <c r="T23" i="1"/>
  <c r="H19" i="1"/>
  <c r="H20" i="1"/>
  <c r="H21" i="1"/>
  <c r="H22" i="1"/>
  <c r="H23" i="1"/>
  <c r="N17" i="1"/>
  <c r="H17" i="1"/>
  <c r="O17" i="1"/>
  <c r="V18" i="1"/>
  <c r="R20" i="1"/>
  <c r="T20" i="1"/>
  <c r="V20" i="1"/>
  <c r="T21" i="1"/>
  <c r="V23" i="1"/>
  <c r="T19" i="1"/>
  <c r="R21" i="1"/>
  <c r="T17" i="1"/>
  <c r="P21" i="1"/>
  <c r="R23" i="1"/>
  <c r="W19" i="1"/>
  <c r="Q19" i="1"/>
  <c r="U19" i="1"/>
  <c r="S19" i="1"/>
  <c r="Q17" i="1"/>
  <c r="S17" i="1"/>
  <c r="W22" i="1"/>
  <c r="P17" i="1"/>
  <c r="R19" i="1"/>
  <c r="T22" i="1"/>
  <c r="Q22" i="1"/>
  <c r="R22" i="1"/>
  <c r="R17" i="1"/>
  <c r="V22" i="1"/>
  <c r="V19" i="1"/>
  <c r="U22" i="1"/>
  <c r="O23" i="1"/>
  <c r="W23" i="1"/>
  <c r="Q21" i="1"/>
  <c r="P23" i="1"/>
  <c r="O20" i="1"/>
  <c r="Q20" i="1"/>
  <c r="R18" i="1"/>
  <c r="T18" i="1"/>
  <c r="U18" i="1"/>
  <c r="W17" i="1"/>
  <c r="S23" i="1"/>
  <c r="S20" i="1"/>
  <c r="W18" i="1"/>
  <c r="U20" i="1"/>
  <c r="U23" i="1"/>
  <c r="Q23" i="1"/>
  <c r="W21" i="1"/>
  <c r="U21" i="1"/>
  <c r="W20" i="1"/>
  <c r="S18" i="1"/>
  <c r="V17" i="1" l="1"/>
  <c r="L17" i="1" s="1"/>
  <c r="L20" i="1"/>
  <c r="I22" i="1"/>
  <c r="K21" i="1"/>
  <c r="J17" i="1"/>
  <c r="J20" i="1"/>
  <c r="J22" i="1"/>
  <c r="I21" i="1"/>
  <c r="L19" i="1"/>
  <c r="I19" i="1"/>
  <c r="K17" i="1"/>
  <c r="K23" i="1"/>
  <c r="I17" i="1"/>
  <c r="L18" i="1"/>
  <c r="I20" i="1"/>
  <c r="J21" i="1"/>
  <c r="K19" i="1"/>
  <c r="L21" i="1"/>
  <c r="I23" i="1"/>
  <c r="I18" i="1"/>
  <c r="K22" i="1"/>
  <c r="K18" i="1"/>
  <c r="J19" i="1"/>
  <c r="J18" i="1"/>
  <c r="L22" i="1"/>
  <c r="J23" i="1"/>
  <c r="K20" i="1"/>
  <c r="L23" i="1"/>
  <c r="I24" i="1" l="1"/>
  <c r="D27" i="1" s="1"/>
  <c r="E27" i="1" s="1"/>
  <c r="K24" i="1"/>
  <c r="D29" i="1" s="1"/>
  <c r="D30" i="1" s="1"/>
  <c r="E30" i="1" s="1"/>
  <c r="J24" i="1"/>
  <c r="D28" i="1" s="1"/>
  <c r="E28" i="1" s="1"/>
  <c r="L24" i="1"/>
  <c r="D31" i="1" s="1"/>
  <c r="E31" i="1" s="1"/>
  <c r="E29" i="1" l="1"/>
  <c r="E33" i="1" s="1"/>
  <c r="D32" i="1"/>
  <c r="E32" i="1" s="1"/>
  <c r="E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Hui</author>
    <author>Geraldina Grunbaum</author>
    <author>David Wiley</author>
  </authors>
  <commentList>
    <comment ref="L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Linda Hui:</t>
        </r>
        <r>
          <rPr>
            <sz val="9"/>
            <color indexed="81"/>
            <rFont val="Tahoma"/>
            <family val="2"/>
          </rPr>
          <t xml:space="preserve">
C02 values are not updated (12/17/2014)</t>
        </r>
      </text>
    </comment>
    <comment ref="A30" authorId="1" shapeId="0" xr:uid="{00000000-0006-0000-0200-000002000000}">
      <text>
        <r>
          <rPr>
            <sz val="8"/>
            <color indexed="81"/>
            <rFont val="Tahoma"/>
            <family val="2"/>
          </rPr>
          <t>Weighted PM 10 means that tailpipe PM emissions have been multiplied by factor of 20, consistent w CARB methodology for Carl Moyer Program, to reflect the negative impact of tailpipe PM on public health.</t>
        </r>
      </text>
    </comment>
    <comment ref="A34" authorId="2" shapeId="0" xr:uid="{00000000-0006-0000-0200-000003000000}">
      <text>
        <r>
          <rPr>
            <b/>
            <sz val="8"/>
            <color indexed="81"/>
            <rFont val="Tahoma"/>
            <family val="2"/>
          </rPr>
          <t>David Wiley:</t>
        </r>
        <r>
          <rPr>
            <sz val="8"/>
            <color indexed="81"/>
            <rFont val="Tahoma"/>
            <family val="2"/>
          </rPr>
          <t xml:space="preserve">
Weighted PM 10 means that tailpipe PM emissions have been multiplied by factor of 20, consistent w CARB methodology for Carl Moyer Program.</t>
        </r>
      </text>
    </comment>
  </commentList>
</comments>
</file>

<file path=xl/sharedStrings.xml><?xml version="1.0" encoding="utf-8"?>
<sst xmlns="http://schemas.openxmlformats.org/spreadsheetml/2006/main" count="123" uniqueCount="106">
  <si>
    <t>Zip</t>
  </si>
  <si>
    <t>Project Schedule</t>
  </si>
  <si>
    <t>Project Start Date</t>
  </si>
  <si>
    <t>Project Completion Date</t>
  </si>
  <si>
    <t>Final Report to CMA</t>
  </si>
  <si>
    <t>Cost Effectiveness Inputs</t>
  </si>
  <si>
    <t>Sources:</t>
  </si>
  <si>
    <t>Average Speed w/ Avg. Increase</t>
  </si>
  <si>
    <t>7AM - 9AM</t>
  </si>
  <si>
    <t>Emission Factors</t>
  </si>
  <si>
    <t># Years Effectiveness:</t>
  </si>
  <si>
    <t>Total Project Cost:</t>
  </si>
  <si>
    <t>TFCA Cost 40%:</t>
  </si>
  <si>
    <t>TFCA Cost 60%:</t>
  </si>
  <si>
    <t>Total TFCA Cost:</t>
  </si>
  <si>
    <t>Emission Reduction Calculations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</si>
  <si>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</si>
  <si>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</si>
  <si>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</si>
  <si>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</si>
  <si>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</si>
  <si>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</si>
  <si>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</si>
  <si>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</si>
  <si>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</si>
  <si>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</si>
  <si>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</si>
  <si>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Segment Length (miles)</t>
  </si>
  <si>
    <t>Days/Yr.</t>
  </si>
  <si>
    <t>Time Period</t>
  </si>
  <si>
    <t>Travel Speed w/o Project</t>
  </si>
  <si>
    <t>Travel Speed w/ Project</t>
  </si>
  <si>
    <t>Percent Speed Increase</t>
  </si>
  <si>
    <t>ROG Emission Reductions (lbs/yr)</t>
  </si>
  <si>
    <t>NOx Emission Reductions (lbs/yr)</t>
  </si>
  <si>
    <t>CO2 Emission Reductions (lbs/yr)</t>
  </si>
  <si>
    <t>Total Emission Reductions</t>
  </si>
  <si>
    <t>Cost Effectiveness Results</t>
  </si>
  <si>
    <t>Annual</t>
  </si>
  <si>
    <t>Lifetime</t>
  </si>
  <si>
    <t>/Ton</t>
  </si>
  <si>
    <t>Average Emission Factors by Speed</t>
  </si>
  <si>
    <t>Speed (mph)</t>
  </si>
  <si>
    <t>ROG (gr/mile)</t>
  </si>
  <si>
    <t>NOx (gr/mile)</t>
  </si>
  <si>
    <t>Tons</t>
  </si>
  <si>
    <t>Fraction of Speed w/o Project</t>
  </si>
  <si>
    <t>ROG Emission Factor w/o Project</t>
  </si>
  <si>
    <t>ROG Emission Factor w/ Project</t>
  </si>
  <si>
    <t>NOx Emission Factor w/o Project</t>
  </si>
  <si>
    <t>NOx Emission Factor w/ Project</t>
  </si>
  <si>
    <t>CO2 Emission Factor w/o Project</t>
  </si>
  <si>
    <t>CO2 Emission Factor w/ Project</t>
  </si>
  <si>
    <t>Fraction of Speed w/ Project</t>
  </si>
  <si>
    <t>PM Emission Factor w/o Project</t>
  </si>
  <si>
    <t>PM Emission Factor w/ Project</t>
  </si>
  <si>
    <t>L</t>
  </si>
  <si>
    <t>PM Emission Reductions (lbs/yr)</t>
  </si>
  <si>
    <t>Notes &amp; Assumptions</t>
  </si>
  <si>
    <t>PM10 Ex (gr/mile)</t>
  </si>
  <si>
    <t>ARTERIAL MANAGEMENT PROJECTS</t>
  </si>
  <si>
    <r>
      <t xml:space="preserve">General Information Tab:  </t>
    </r>
    <r>
      <rPr>
        <sz val="10"/>
        <rFont val="Arial"/>
        <family val="2"/>
      </rPr>
      <t>Complete areas shaded in yellow.</t>
    </r>
  </si>
  <si>
    <t>Project Title</t>
  </si>
  <si>
    <t>Project Type Code (e.g., 7a)</t>
  </si>
  <si>
    <t>Worksheet Calculated By</t>
  </si>
  <si>
    <t>Date of Submission</t>
  </si>
  <si>
    <t>Project Sponsor</t>
  </si>
  <si>
    <t>Project Sponsor Organization</t>
  </si>
  <si>
    <t>Public Agency? (Y or N)</t>
  </si>
  <si>
    <t>Contact Name</t>
  </si>
  <si>
    <t>Email Address</t>
  </si>
  <si>
    <t>Phone Number</t>
  </si>
  <si>
    <t>Mailing Address</t>
  </si>
  <si>
    <t>City</t>
  </si>
  <si>
    <t>State</t>
  </si>
  <si>
    <t>4. Weighted PM Emissions</t>
  </si>
  <si>
    <t>5. CO2 Emissions Reduced</t>
  </si>
  <si>
    <t>6. Emission Reductions (ROG, NOx &amp; PM)</t>
  </si>
  <si>
    <t>7. TFCA Project Cost - Cost Effectiveness (ROG, NOx &amp; PM)</t>
  </si>
  <si>
    <t>1. ROG Emissions</t>
  </si>
  <si>
    <t>2. NOx Emissions</t>
  </si>
  <si>
    <t>3. PM Emissions</t>
  </si>
  <si>
    <t>Traffic Volume During Time Period</t>
  </si>
  <si>
    <t>SAMPLE--San Pablo, Northbound</t>
  </si>
  <si>
    <t>Name of Arterial, Direction</t>
  </si>
  <si>
    <t>County (2-3 character abbreviation)</t>
  </si>
  <si>
    <t>TFCA Regional Fund Proj. #:</t>
  </si>
  <si>
    <t>PM2.5 Ex (gr/mile)</t>
  </si>
  <si>
    <t>Conversion factor, PM2.5 to PM10</t>
  </si>
  <si>
    <t>http://www.baaqmd.gov/tfca4pm</t>
  </si>
  <si>
    <t>Conversion factors from PM2.5 to PM10 for Exhaust - ARB document: http://www.arb.ca.gov/planning/tsaq/eval/pmtables.pdf. As of July 2013.</t>
  </si>
  <si>
    <t>N/A</t>
  </si>
  <si>
    <r>
      <t xml:space="preserve">Calculations Tab:  </t>
    </r>
    <r>
      <rPr>
        <sz val="11"/>
        <rFont val="Arial"/>
        <family val="2"/>
      </rPr>
      <t>Complete areas shaded in yellow.</t>
    </r>
  </si>
  <si>
    <r>
      <t xml:space="preserve">8.  TFCA Project Cost - Cost Effectiveness (ROG, NOx &amp; </t>
    </r>
    <r>
      <rPr>
        <b/>
        <sz val="12"/>
        <rFont val="Arial"/>
        <family val="2"/>
      </rPr>
      <t>Weighted</t>
    </r>
    <r>
      <rPr>
        <sz val="12"/>
        <rFont val="Arial"/>
        <family val="2"/>
      </rPr>
      <t xml:space="preserve"> PM). </t>
    </r>
    <r>
      <rPr>
        <sz val="12"/>
        <rFont val="Arial Rounded MT Bold"/>
        <family val="2"/>
      </rPr>
      <t xml:space="preserve"> </t>
    </r>
    <r>
      <rPr>
        <b/>
        <sz val="12"/>
        <rFont val="Arial Rounded MT Bold"/>
        <family val="2"/>
      </rPr>
      <t>THIS VALUE MUST MEET POLICY REQUIREMENTS.</t>
    </r>
  </si>
  <si>
    <t xml:space="preserve">Values between increments of 5 are calculated by interpolation. </t>
  </si>
  <si>
    <t>Provide all assumptions, rationales, and references for inputs used in calculations.</t>
  </si>
  <si>
    <t>Project Category Specific Notes</t>
  </si>
  <si>
    <r>
      <t>If a project consists of more than one segment being considerired for funding,</t>
    </r>
    <r>
      <rPr>
        <b/>
        <sz val="11"/>
        <rFont val="MS Sans Serif"/>
      </rPr>
      <t xml:space="preserve"> each segment must meet the cost-effectiveness criteria</t>
    </r>
    <r>
      <rPr>
        <sz val="11"/>
        <rFont val="MS Sans Serif"/>
      </rPr>
      <t>. Include (1) CE worksheet with all segments listed, as well as a separate CE worksheet for each segment.</t>
    </r>
  </si>
  <si>
    <t>To qualify for (4) years of effectiveness, signals must be retimed after (2) years.</t>
  </si>
  <si>
    <r>
      <t xml:space="preserve">ROG, NOx, &amp; PM2.5 per Draft </t>
    </r>
    <r>
      <rPr>
        <i/>
        <sz val="10"/>
        <rFont val="MS Sans Serif"/>
      </rPr>
      <t xml:space="preserve">Methods to Find the Cost-Effectiveness of Funding Air Quality Projects, Emission Factor Tables, </t>
    </r>
    <r>
      <rPr>
        <sz val="10"/>
        <rFont val="MS Sans Serif"/>
      </rPr>
      <t>Table 4, Emission Factors by Speed, Project Life 1-5 years (2019 - 2023), November 2021.</t>
    </r>
  </si>
  <si>
    <r>
      <t>Detailed instructions are available in</t>
    </r>
    <r>
      <rPr>
        <b/>
        <sz val="11"/>
        <rFont val="Arial"/>
        <family val="2"/>
      </rPr>
      <t xml:space="preserve"> Appendix H </t>
    </r>
    <r>
      <rPr>
        <sz val="11"/>
        <rFont val="Arial"/>
        <family val="2"/>
      </rPr>
      <t>of the County Program Manager Fund Expenditure Plan Guidance Fiscal Year Ending 2024 at:</t>
    </r>
  </si>
  <si>
    <t>FYE 2024 TFCA County Program Manager Fund Worksheet</t>
  </si>
  <si>
    <t>Project Number (24XXXYY)</t>
  </si>
  <si>
    <t>Version 2024, Updated 1/9/2023</t>
  </si>
  <si>
    <t xml:space="preserve">CO2 </t>
  </si>
  <si>
    <t>CO2 factors from EMFAC2017 (v1.0.3) Emission Rates (Region Type: Bay Area AQMD, CY: 2023, Season: Annual; Vehicle Classification: EMFAC2011 Categories, Fuel: Gas) via Hannah Cha 1/9/2023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</si>
</sst>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164" formatCode="0.0"/>
    <numFmt numFmtId="165" formatCode="0.0000"/>
    <numFmt numFmtId="166" formatCode="0.0%"/>
    <numFmt numFmtId="167" formatCode="#,###"/>
    <numFmt numFmtId="168" formatCode="00000"/>
    <numFmt numFmtId="169" formatCode="[&lt;=9999999]###\-####;\(###\)\ ###\-####"/>
    <numFmt numFmtId="170" formatCode="0.000"/>
  </numFmts>
  <fonts count="44" x14ac:knownFonts="1">
    <font>
      <sz val="10"/>
      <name val="MS Sans Serif"/>
    </font>
    <font>
      <b/>
      <i/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7.5"/>
      <color indexed="12"/>
      <name val="MS Sans Serif"/>
      <family val="2"/>
    </font>
    <font>
      <b/>
      <sz val="10"/>
      <name val="Arial"/>
      <family val="2"/>
    </font>
    <font>
      <i/>
      <sz val="12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4"/>
      <name val="Arial"/>
      <family val="2"/>
    </font>
    <font>
      <b/>
      <i/>
      <sz val="12"/>
      <name val="MS Sans Serif"/>
      <family val="2"/>
    </font>
    <font>
      <sz val="10"/>
      <color rgb="FFFF0000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MS Sans Serif"/>
    </font>
    <font>
      <sz val="10"/>
      <color rgb="FFFF0000"/>
      <name val="MS Sans Serif"/>
    </font>
    <font>
      <sz val="10"/>
      <name val="MS Sans Serif"/>
    </font>
    <font>
      <b/>
      <sz val="10"/>
      <name val="MS Sans Serif"/>
    </font>
    <font>
      <b/>
      <sz val="10"/>
      <color theme="1"/>
      <name val="MS Sans Serif"/>
    </font>
    <font>
      <b/>
      <sz val="11"/>
      <name val="Arial"/>
      <family val="2"/>
    </font>
    <font>
      <sz val="11"/>
      <name val="Arial"/>
      <family val="2"/>
    </font>
    <font>
      <sz val="12"/>
      <name val="MS Sans Serif"/>
    </font>
    <font>
      <sz val="12"/>
      <name val="Arial Rounded MT Bold"/>
      <family val="2"/>
    </font>
    <font>
      <b/>
      <sz val="12"/>
      <name val="Arial Rounded MT Bold"/>
      <family val="2"/>
    </font>
    <font>
      <sz val="16"/>
      <name val="MS Sans Serif"/>
    </font>
    <font>
      <i/>
      <sz val="12"/>
      <name val="MS Sans Serif"/>
      <family val="2"/>
    </font>
    <font>
      <u/>
      <sz val="11"/>
      <color indexed="12"/>
      <name val="MS Sans Serif"/>
      <family val="2"/>
    </font>
    <font>
      <u/>
      <sz val="11"/>
      <name val="MS Sans Serif"/>
    </font>
    <font>
      <sz val="11"/>
      <name val="MS Sans Serif"/>
    </font>
    <font>
      <b/>
      <sz val="11"/>
      <name val="MS Sans Serif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0"/>
      <color rgb="FFFF0000"/>
      <name val="MS Sans Serif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8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</cellStyleXfs>
  <cellXfs count="177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5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Continuous" wrapText="1"/>
    </xf>
    <xf numFmtId="2" fontId="3" fillId="0" borderId="0" xfId="3" applyNumberFormat="1" applyFont="1" applyBorder="1"/>
    <xf numFmtId="2" fontId="3" fillId="0" borderId="0" xfId="0" applyNumberFormat="1" applyFont="1"/>
    <xf numFmtId="165" fontId="3" fillId="0" borderId="0" xfId="3" applyNumberFormat="1" applyFont="1" applyBorder="1"/>
    <xf numFmtId="3" fontId="0" fillId="0" borderId="0" xfId="0" applyNumberFormat="1"/>
    <xf numFmtId="166" fontId="0" fillId="0" borderId="0" xfId="0" applyNumberFormat="1"/>
    <xf numFmtId="0" fontId="8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0" fillId="0" borderId="3" xfId="0" applyBorder="1" applyAlignment="1">
      <alignment horizontal="centerContinuous" vertical="center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left"/>
    </xf>
    <xf numFmtId="0" fontId="8" fillId="0" borderId="0" xfId="0" applyFont="1"/>
    <xf numFmtId="0" fontId="13" fillId="0" borderId="0" xfId="0" applyFont="1"/>
    <xf numFmtId="0" fontId="8" fillId="0" borderId="5" xfId="0" applyFont="1" applyBorder="1"/>
    <xf numFmtId="0" fontId="8" fillId="0" borderId="6" xfId="0" applyFont="1" applyBorder="1"/>
    <xf numFmtId="14" fontId="13" fillId="0" borderId="0" xfId="0" applyNumberFormat="1" applyFont="1" applyAlignment="1">
      <alignment horizontal="centerContinuous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1" fillId="0" borderId="0" xfId="0" applyFont="1"/>
    <xf numFmtId="0" fontId="13" fillId="0" borderId="10" xfId="0" applyFont="1" applyBorder="1"/>
    <xf numFmtId="0" fontId="14" fillId="0" borderId="0" xfId="0" applyFont="1" applyAlignment="1">
      <alignment horizontal="center"/>
    </xf>
    <xf numFmtId="0" fontId="13" fillId="0" borderId="11" xfId="0" applyFont="1" applyBorder="1"/>
    <xf numFmtId="2" fontId="13" fillId="0" borderId="12" xfId="0" applyNumberFormat="1" applyFont="1" applyBorder="1"/>
    <xf numFmtId="2" fontId="13" fillId="2" borderId="2" xfId="0" applyNumberFormat="1" applyFont="1" applyFill="1" applyBorder="1"/>
    <xf numFmtId="0" fontId="13" fillId="0" borderId="2" xfId="0" applyFont="1" applyBorder="1"/>
    <xf numFmtId="0" fontId="13" fillId="0" borderId="0" xfId="0" applyFont="1" applyAlignment="1">
      <alignment horizontal="left"/>
    </xf>
    <xf numFmtId="1" fontId="0" fillId="0" borderId="0" xfId="0" applyNumberFormat="1"/>
    <xf numFmtId="0" fontId="8" fillId="0" borderId="0" xfId="0" applyFont="1" applyAlignment="1">
      <alignment horizontal="left"/>
    </xf>
    <xf numFmtId="0" fontId="13" fillId="0" borderId="0" xfId="0" applyFont="1" applyAlignment="1" applyProtection="1">
      <alignment horizontal="centerContinuous"/>
      <protection locked="0"/>
    </xf>
    <xf numFmtId="0" fontId="13" fillId="0" borderId="0" xfId="0" applyFont="1" applyProtection="1">
      <protection locked="0"/>
    </xf>
    <xf numFmtId="0" fontId="6" fillId="0" borderId="0" xfId="0" applyFont="1" applyAlignment="1">
      <alignment horizontal="right" vertical="top" wrapText="1"/>
    </xf>
    <xf numFmtId="0" fontId="10" fillId="0" borderId="0" xfId="0" applyFont="1"/>
    <xf numFmtId="1" fontId="10" fillId="0" borderId="0" xfId="0" applyNumberFormat="1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2" fillId="0" borderId="0" xfId="0" applyFont="1"/>
    <xf numFmtId="0" fontId="11" fillId="0" borderId="13" xfId="0" applyFont="1" applyBorder="1" applyAlignment="1">
      <alignment horizontal="right" vertical="center"/>
    </xf>
    <xf numFmtId="14" fontId="11" fillId="3" borderId="14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1" fillId="0" borderId="15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6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right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169" fontId="11" fillId="3" borderId="2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center" wrapText="1"/>
    </xf>
    <xf numFmtId="168" fontId="11" fillId="3" borderId="2" xfId="0" applyNumberFormat="1" applyFont="1" applyFill="1" applyBorder="1" applyAlignment="1">
      <alignment horizontal="center" vertical="center" wrapText="1"/>
    </xf>
    <xf numFmtId="8" fontId="11" fillId="0" borderId="18" xfId="1" applyFont="1" applyFill="1" applyBorder="1" applyAlignment="1">
      <alignment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/>
    </xf>
    <xf numFmtId="0" fontId="17" fillId="4" borderId="7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3" fontId="3" fillId="4" borderId="2" xfId="0" applyNumberFormat="1" applyFont="1" applyFill="1" applyBorder="1" applyAlignment="1" applyProtection="1">
      <alignment horizontal="center"/>
      <protection locked="0"/>
    </xf>
    <xf numFmtId="166" fontId="13" fillId="4" borderId="2" xfId="3" applyNumberFormat="1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/>
    </xf>
    <xf numFmtId="1" fontId="13" fillId="4" borderId="9" xfId="0" applyNumberFormat="1" applyFont="1" applyFill="1" applyBorder="1" applyAlignment="1">
      <alignment horizontal="center"/>
    </xf>
    <xf numFmtId="0" fontId="13" fillId="3" borderId="7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3" fontId="3" fillId="3" borderId="2" xfId="0" applyNumberFormat="1" applyFont="1" applyFill="1" applyBorder="1" applyAlignment="1" applyProtection="1">
      <alignment horizontal="center"/>
      <protection locked="0"/>
    </xf>
    <xf numFmtId="166" fontId="13" fillId="2" borderId="2" xfId="3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2" fontId="13" fillId="2" borderId="21" xfId="0" applyNumberFormat="1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left"/>
    </xf>
    <xf numFmtId="0" fontId="13" fillId="5" borderId="24" xfId="0" applyFont="1" applyFill="1" applyBorder="1" applyAlignment="1">
      <alignment horizontal="left"/>
    </xf>
    <xf numFmtId="0" fontId="8" fillId="5" borderId="22" xfId="0" applyFont="1" applyFill="1" applyBorder="1" applyAlignment="1">
      <alignment horizontal="centerContinuous"/>
    </xf>
    <xf numFmtId="0" fontId="13" fillId="5" borderId="23" xfId="0" applyFont="1" applyFill="1" applyBorder="1" applyAlignment="1">
      <alignment horizontal="centerContinuous"/>
    </xf>
    <xf numFmtId="0" fontId="8" fillId="5" borderId="23" xfId="0" applyFont="1" applyFill="1" applyBorder="1" applyAlignment="1">
      <alignment horizontal="centerContinuous"/>
    </xf>
    <xf numFmtId="0" fontId="13" fillId="5" borderId="23" xfId="0" applyFont="1" applyFill="1" applyBorder="1" applyAlignment="1">
      <alignment horizontal="centerContinuous" vertical="center"/>
    </xf>
    <xf numFmtId="0" fontId="13" fillId="5" borderId="24" xfId="0" applyFont="1" applyFill="1" applyBorder="1" applyAlignment="1">
      <alignment horizontal="centerContinuous"/>
    </xf>
    <xf numFmtId="0" fontId="8" fillId="5" borderId="22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center"/>
    </xf>
    <xf numFmtId="0" fontId="13" fillId="0" borderId="13" xfId="0" applyFont="1" applyBorder="1"/>
    <xf numFmtId="0" fontId="8" fillId="0" borderId="21" xfId="0" applyFont="1" applyBorder="1"/>
    <xf numFmtId="0" fontId="13" fillId="3" borderId="9" xfId="0" applyFont="1" applyFill="1" applyBorder="1" applyAlignment="1" applyProtection="1">
      <alignment horizontal="center" vertical="center"/>
      <protection locked="0"/>
    </xf>
    <xf numFmtId="5" fontId="13" fillId="3" borderId="25" xfId="0" applyNumberFormat="1" applyFont="1" applyFill="1" applyBorder="1" applyAlignment="1" applyProtection="1">
      <alignment horizontal="center" vertical="center"/>
      <protection locked="0"/>
    </xf>
    <xf numFmtId="5" fontId="13" fillId="2" borderId="26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/>
    </xf>
    <xf numFmtId="167" fontId="13" fillId="0" borderId="0" xfId="0" applyNumberFormat="1" applyFont="1"/>
    <xf numFmtId="164" fontId="3" fillId="4" borderId="2" xfId="0" applyNumberFormat="1" applyFont="1" applyFill="1" applyBorder="1" applyAlignment="1" applyProtection="1">
      <alignment horizontal="center"/>
      <protection locked="0"/>
    </xf>
    <xf numFmtId="5" fontId="13" fillId="2" borderId="2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" fontId="19" fillId="0" borderId="0" xfId="0" applyNumberFormat="1" applyFont="1"/>
    <xf numFmtId="165" fontId="11" fillId="0" borderId="0" xfId="0" applyNumberFormat="1" applyFont="1" applyAlignment="1">
      <alignment horizontal="right"/>
    </xf>
    <xf numFmtId="0" fontId="15" fillId="0" borderId="0" xfId="2" applyAlignment="1" applyProtection="1"/>
    <xf numFmtId="0" fontId="21" fillId="0" borderId="0" xfId="0" applyFont="1" applyAlignment="1">
      <alignment horizontal="centerContinuous"/>
    </xf>
    <xf numFmtId="0" fontId="13" fillId="0" borderId="30" xfId="0" applyFont="1" applyBorder="1"/>
    <xf numFmtId="0" fontId="8" fillId="0" borderId="30" xfId="0" applyFont="1" applyBorder="1" applyAlignment="1">
      <alignment horizontal="right"/>
    </xf>
    <xf numFmtId="0" fontId="22" fillId="0" borderId="0" xfId="0" applyFont="1"/>
    <xf numFmtId="0" fontId="10" fillId="0" borderId="0" xfId="4" applyFont="1"/>
    <xf numFmtId="0" fontId="2" fillId="0" borderId="0" xfId="4"/>
    <xf numFmtId="0" fontId="3" fillId="6" borderId="0" xfId="0" applyFont="1" applyFill="1" applyAlignment="1">
      <alignment horizontal="center" vertical="center" wrapText="1"/>
    </xf>
    <xf numFmtId="165" fontId="3" fillId="6" borderId="0" xfId="3" applyNumberFormat="1" applyFont="1" applyFill="1" applyBorder="1"/>
    <xf numFmtId="164" fontId="3" fillId="3" borderId="2" xfId="0" applyNumberFormat="1" applyFont="1" applyFill="1" applyBorder="1" applyAlignment="1" applyProtection="1">
      <alignment horizontal="center"/>
      <protection locked="0"/>
    </xf>
    <xf numFmtId="2" fontId="13" fillId="7" borderId="2" xfId="0" applyNumberFormat="1" applyFont="1" applyFill="1" applyBorder="1"/>
    <xf numFmtId="1" fontId="13" fillId="7" borderId="9" xfId="0" applyNumberFormat="1" applyFont="1" applyFill="1" applyBorder="1" applyAlignment="1">
      <alignment horizontal="center"/>
    </xf>
    <xf numFmtId="1" fontId="13" fillId="7" borderId="29" xfId="0" applyNumberFormat="1" applyFont="1" applyFill="1" applyBorder="1" applyAlignment="1">
      <alignment horizontal="center"/>
    </xf>
    <xf numFmtId="5" fontId="13" fillId="8" borderId="19" xfId="0" applyNumberFormat="1" applyFont="1" applyFill="1" applyBorder="1" applyAlignment="1" applyProtection="1">
      <alignment horizontal="center" vertical="center"/>
      <protection locked="0"/>
    </xf>
    <xf numFmtId="0" fontId="13" fillId="5" borderId="23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/>
    <xf numFmtId="0" fontId="0" fillId="0" borderId="32" xfId="0" applyBorder="1"/>
    <xf numFmtId="0" fontId="0" fillId="0" borderId="32" xfId="0" applyBorder="1" applyAlignment="1">
      <alignment horizontal="right"/>
    </xf>
    <xf numFmtId="170" fontId="11" fillId="0" borderId="0" xfId="0" applyNumberFormat="1" applyFont="1" applyAlignment="1">
      <alignment horizontal="right" vertical="center"/>
    </xf>
    <xf numFmtId="165" fontId="11" fillId="0" borderId="2" xfId="4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 vertical="center"/>
    </xf>
    <xf numFmtId="0" fontId="28" fillId="0" borderId="27" xfId="0" applyFont="1" applyBorder="1"/>
    <xf numFmtId="0" fontId="28" fillId="0" borderId="13" xfId="0" applyFont="1" applyBorder="1"/>
    <xf numFmtId="0" fontId="29" fillId="0" borderId="13" xfId="0" applyFont="1" applyBorder="1"/>
    <xf numFmtId="0" fontId="28" fillId="0" borderId="32" xfId="0" applyFont="1" applyBorder="1"/>
    <xf numFmtId="2" fontId="16" fillId="0" borderId="2" xfId="0" applyNumberFormat="1" applyFont="1" applyBorder="1" applyAlignment="1">
      <alignment horizontal="right" vertical="center"/>
    </xf>
    <xf numFmtId="165" fontId="16" fillId="0" borderId="2" xfId="4" applyNumberFormat="1" applyFont="1" applyBorder="1" applyAlignment="1">
      <alignment horizontal="right"/>
    </xf>
    <xf numFmtId="0" fontId="16" fillId="0" borderId="34" xfId="0" applyFont="1" applyBorder="1" applyAlignment="1">
      <alignment horizontal="right"/>
    </xf>
    <xf numFmtId="165" fontId="16" fillId="0" borderId="33" xfId="4" applyNumberFormat="1" applyFont="1" applyBorder="1" applyAlignment="1">
      <alignment horizontal="right"/>
    </xf>
    <xf numFmtId="0" fontId="30" fillId="0" borderId="0" xfId="0" applyFont="1" applyAlignment="1">
      <alignment vertical="center"/>
    </xf>
    <xf numFmtId="0" fontId="13" fillId="0" borderId="0" xfId="0" applyFont="1" applyAlignment="1">
      <alignment horizontal="centerContinuous"/>
    </xf>
    <xf numFmtId="0" fontId="32" fillId="0" borderId="0" xfId="0" applyFont="1" applyAlignment="1">
      <alignment horizontal="centerContinuous"/>
    </xf>
    <xf numFmtId="0" fontId="32" fillId="0" borderId="0" xfId="0" applyFont="1"/>
    <xf numFmtId="5" fontId="13" fillId="8" borderId="31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32" fillId="0" borderId="0" xfId="0" applyFont="1" applyAlignment="1">
      <alignment horizontal="center" vertical="center" wrapText="1"/>
    </xf>
    <xf numFmtId="5" fontId="32" fillId="0" borderId="0" xfId="0" applyNumberFormat="1" applyFont="1"/>
    <xf numFmtId="5" fontId="33" fillId="2" borderId="21" xfId="0" applyNumberFormat="1" applyFont="1" applyFill="1" applyBorder="1" applyAlignment="1">
      <alignment horizontal="right" wrapText="1"/>
    </xf>
    <xf numFmtId="0" fontId="27" fillId="0" borderId="0" xfId="4" applyFont="1"/>
    <xf numFmtId="0" fontId="29" fillId="0" borderId="9" xfId="0" applyFont="1" applyBorder="1"/>
    <xf numFmtId="1" fontId="10" fillId="0" borderId="28" xfId="4" applyNumberFormat="1" applyFont="1" applyBorder="1"/>
    <xf numFmtId="1" fontId="2" fillId="0" borderId="28" xfId="4" applyNumberFormat="1" applyBorder="1"/>
    <xf numFmtId="1" fontId="10" fillId="0" borderId="29" xfId="4" applyNumberFormat="1" applyFont="1" applyBorder="1"/>
    <xf numFmtId="0" fontId="35" fillId="0" borderId="0" xfId="0" applyFont="1"/>
    <xf numFmtId="0" fontId="36" fillId="0" borderId="0" xfId="0" applyFont="1"/>
    <xf numFmtId="0" fontId="31" fillId="0" borderId="0" xfId="0" applyFont="1"/>
    <xf numFmtId="0" fontId="37" fillId="0" borderId="0" xfId="2" applyFont="1" applyAlignment="1" applyProtection="1"/>
    <xf numFmtId="0" fontId="38" fillId="0" borderId="0" xfId="0" applyFont="1"/>
    <xf numFmtId="0" fontId="39" fillId="0" borderId="0" xfId="0" applyFont="1"/>
    <xf numFmtId="0" fontId="28" fillId="0" borderId="0" xfId="0" applyFont="1"/>
    <xf numFmtId="170" fontId="16" fillId="0" borderId="0" xfId="0" applyNumberFormat="1" applyFont="1" applyAlignment="1">
      <alignment horizontal="right" vertical="center"/>
    </xf>
    <xf numFmtId="2" fontId="28" fillId="0" borderId="0" xfId="0" applyNumberFormat="1" applyFont="1"/>
    <xf numFmtId="3" fontId="28" fillId="0" borderId="0" xfId="0" applyNumberFormat="1" applyFont="1"/>
    <xf numFmtId="170" fontId="41" fillId="0" borderId="0" xfId="0" applyNumberFormat="1" applyFont="1" applyAlignment="1">
      <alignment horizontal="right" vertical="center"/>
    </xf>
    <xf numFmtId="170" fontId="42" fillId="0" borderId="0" xfId="0" applyNumberFormat="1" applyFont="1" applyAlignment="1">
      <alignment horizontal="right" vertical="center"/>
    </xf>
    <xf numFmtId="0" fontId="43" fillId="0" borderId="0" xfId="0" applyFont="1"/>
    <xf numFmtId="0" fontId="26" fillId="0" borderId="0" xfId="4" applyFont="1"/>
    <xf numFmtId="0" fontId="13" fillId="0" borderId="32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14" xfId="0" applyFont="1" applyBorder="1" applyAlignment="1">
      <alignment wrapText="1"/>
    </xf>
  </cellXfs>
  <cellStyles count="5">
    <cellStyle name="Currency" xfId="1" builtinId="4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48204</xdr:colOff>
      <xdr:row>6</xdr:row>
      <xdr:rowOff>89427</xdr:rowOff>
    </xdr:from>
    <xdr:to>
      <xdr:col>20</xdr:col>
      <xdr:colOff>324572</xdr:colOff>
      <xdr:row>39</xdr:row>
      <xdr:rowOff>88618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2AE654-4C7D-BC09-AE69-2DD11B5C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704" y="1211260"/>
          <a:ext cx="5419868" cy="5206191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6</xdr:row>
      <xdr:rowOff>0</xdr:rowOff>
    </xdr:from>
    <xdr:to>
      <xdr:col>30</xdr:col>
      <xdr:colOff>350751</xdr:colOff>
      <xdr:row>26</xdr:row>
      <xdr:rowOff>25714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72FADE7-7B78-4931-AD29-C1DB143D5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00" y="1121833"/>
          <a:ext cx="5494251" cy="3200714"/>
        </a:xfrm>
        <a:prstGeom prst="rect">
          <a:avLst/>
        </a:prstGeom>
      </xdr:spPr>
    </xdr:pic>
    <xdr:clientData/>
  </xdr:twoCellAnchor>
  <xdr:twoCellAnchor editAs="oneCell">
    <xdr:from>
      <xdr:col>21</xdr:col>
      <xdr:colOff>52916</xdr:colOff>
      <xdr:row>26</xdr:row>
      <xdr:rowOff>10583</xdr:rowOff>
    </xdr:from>
    <xdr:to>
      <xdr:col>30</xdr:col>
      <xdr:colOff>339926</xdr:colOff>
      <xdr:row>51</xdr:row>
      <xdr:rowOff>144487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3F7E45D-A9CA-45C5-B85F-42E6C5D07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54416" y="4307416"/>
          <a:ext cx="5430510" cy="4070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158748</xdr:rowOff>
    </xdr:from>
    <xdr:to>
      <xdr:col>10</xdr:col>
      <xdr:colOff>465018</xdr:colOff>
      <xdr:row>56</xdr:row>
      <xdr:rowOff>28190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9450FE-F49D-314D-E89D-EEAC5DF85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4124"/>
          <a:ext cx="6180018" cy="7769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16</xdr:row>
      <xdr:rowOff>0</xdr:rowOff>
    </xdr:from>
    <xdr:to>
      <xdr:col>0</xdr:col>
      <xdr:colOff>1150861</xdr:colOff>
      <xdr:row>16</xdr:row>
      <xdr:rowOff>0</xdr:rowOff>
    </xdr:to>
    <xdr:sp macro="" textlink="">
      <xdr:nvSpPr>
        <xdr:cNvPr id="1035" name="Tex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 txBox="1">
          <a:spLocks noChangeArrowheads="1"/>
        </xdr:cNvSpPr>
      </xdr:nvSpPr>
      <xdr:spPr bwMode="auto">
        <a:xfrm>
          <a:off x="60960" y="3954780"/>
          <a:ext cx="11353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Existing Vehicles</a:t>
          </a:r>
        </a:p>
      </xdr:txBody>
    </xdr:sp>
    <xdr:clientData/>
  </xdr:twoCellAnchor>
  <xdr:twoCellAnchor>
    <xdr:from>
      <xdr:col>0</xdr:col>
      <xdr:colOff>22860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1036" name="Tex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 txBox="1">
          <a:spLocks noChangeArrowheads="1"/>
        </xdr:cNvSpPr>
      </xdr:nvSpPr>
      <xdr:spPr bwMode="auto">
        <a:xfrm>
          <a:off x="22860" y="4792980"/>
          <a:ext cx="2644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</a:t>
          </a:r>
        </a:p>
      </xdr:txBody>
    </xdr:sp>
    <xdr:clientData/>
  </xdr:twoCellAnchor>
  <xdr:twoCellAnchor>
    <xdr:from>
      <xdr:col>1</xdr:col>
      <xdr:colOff>30480</xdr:colOff>
      <xdr:row>23</xdr:row>
      <xdr:rowOff>0</xdr:rowOff>
    </xdr:from>
    <xdr:to>
      <xdr:col>2</xdr:col>
      <xdr:colOff>26</xdr:colOff>
      <xdr:row>23</xdr:row>
      <xdr:rowOff>0</xdr:rowOff>
    </xdr:to>
    <xdr:sp macro="" textlink="">
      <xdr:nvSpPr>
        <xdr:cNvPr id="1037" name="Tex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 txBox="1">
          <a:spLocks noChangeArrowheads="1"/>
        </xdr:cNvSpPr>
      </xdr:nvSpPr>
      <xdr:spPr bwMode="auto">
        <a:xfrm>
          <a:off x="2689860" y="479298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Vehicles</a:t>
          </a:r>
        </a:p>
      </xdr:txBody>
    </xdr:sp>
    <xdr:clientData/>
  </xdr:twoCellAnchor>
  <xdr:twoCellAnchor>
    <xdr:from>
      <xdr:col>2</xdr:col>
      <xdr:colOff>5715</xdr:colOff>
      <xdr:row>23</xdr:row>
      <xdr:rowOff>0</xdr:rowOff>
    </xdr:from>
    <xdr:to>
      <xdr:col>3</xdr:col>
      <xdr:colOff>59</xdr:colOff>
      <xdr:row>23</xdr:row>
      <xdr:rowOff>0</xdr:rowOff>
    </xdr:to>
    <xdr:sp macro="" textlink="">
      <xdr:nvSpPr>
        <xdr:cNvPr id="1038" name="Text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 txBox="1">
          <a:spLocks noChangeArrowheads="1"/>
        </xdr:cNvSpPr>
      </xdr:nvSpPr>
      <xdr:spPr bwMode="auto">
        <a:xfrm>
          <a:off x="3429635" y="7386320"/>
          <a:ext cx="8985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Ful Vehicles</a:t>
          </a:r>
        </a:p>
      </xdr:txBody>
    </xdr:sp>
    <xdr:clientData/>
  </xdr:twoCellAnchor>
  <xdr:twoCellAnchor>
    <xdr:from>
      <xdr:col>5</xdr:col>
      <xdr:colOff>38100</xdr:colOff>
      <xdr:row>23</xdr:row>
      <xdr:rowOff>0</xdr:rowOff>
    </xdr:from>
    <xdr:to>
      <xdr:col>6</xdr:col>
      <xdr:colOff>7620</xdr:colOff>
      <xdr:row>23</xdr:row>
      <xdr:rowOff>0</xdr:rowOff>
    </xdr:to>
    <xdr:sp macro="" textlink="">
      <xdr:nvSpPr>
        <xdr:cNvPr id="1039" name="Text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 txBox="1">
          <a:spLocks noChangeArrowheads="1"/>
        </xdr:cNvSpPr>
      </xdr:nvSpPr>
      <xdr:spPr bwMode="auto">
        <a:xfrm>
          <a:off x="6583680" y="479298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Vehicles</a:t>
          </a:r>
        </a:p>
      </xdr:txBody>
    </xdr:sp>
    <xdr:clientData/>
  </xdr:twoCellAnchor>
  <xdr:twoCellAnchor>
    <xdr:from>
      <xdr:col>1</xdr:col>
      <xdr:colOff>30480</xdr:colOff>
      <xdr:row>23</xdr:row>
      <xdr:rowOff>0</xdr:rowOff>
    </xdr:from>
    <xdr:to>
      <xdr:col>2</xdr:col>
      <xdr:colOff>26</xdr:colOff>
      <xdr:row>23</xdr:row>
      <xdr:rowOff>0</xdr:rowOff>
    </xdr:to>
    <xdr:sp macro="" textlink="">
      <xdr:nvSpPr>
        <xdr:cNvPr id="1040" name="Text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 txBox="1">
          <a:spLocks noChangeArrowheads="1"/>
        </xdr:cNvSpPr>
      </xdr:nvSpPr>
      <xdr:spPr bwMode="auto">
        <a:xfrm>
          <a:off x="2689860" y="479298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Vehicles</a:t>
          </a:r>
        </a:p>
      </xdr:txBody>
    </xdr:sp>
    <xdr:clientData/>
  </xdr:twoCellAnchor>
  <xdr:twoCellAnchor>
    <xdr:from>
      <xdr:col>5</xdr:col>
      <xdr:colOff>38100</xdr:colOff>
      <xdr:row>23</xdr:row>
      <xdr:rowOff>0</xdr:rowOff>
    </xdr:from>
    <xdr:to>
      <xdr:col>6</xdr:col>
      <xdr:colOff>7620</xdr:colOff>
      <xdr:row>23</xdr:row>
      <xdr:rowOff>0</xdr:rowOff>
    </xdr:to>
    <xdr:sp macro="" textlink="">
      <xdr:nvSpPr>
        <xdr:cNvPr id="1042" name="Tex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 txBox="1">
          <a:spLocks noChangeArrowheads="1"/>
        </xdr:cNvSpPr>
      </xdr:nvSpPr>
      <xdr:spPr bwMode="auto">
        <a:xfrm>
          <a:off x="6583680" y="479298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CleanFuel Vehicles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aqmd.gov/tfca4p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31"/>
  <sheetViews>
    <sheetView tabSelected="1" topLeftCell="A39" zoomScale="90" zoomScaleNormal="90" workbookViewId="0">
      <selection activeCell="B8" sqref="B8"/>
    </sheetView>
  </sheetViews>
  <sheetFormatPr defaultColWidth="8.5703125" defaultRowHeight="12.4" x14ac:dyDescent="0.35"/>
  <sheetData>
    <row r="1" spans="1:1" ht="17.649999999999999" x14ac:dyDescent="0.5">
      <c r="A1" s="108" t="s">
        <v>60</v>
      </c>
    </row>
    <row r="2" spans="1:1" ht="17.649999999999999" x14ac:dyDescent="0.5">
      <c r="A2" s="108" t="s">
        <v>101</v>
      </c>
    </row>
    <row r="3" spans="1:1" x14ac:dyDescent="0.35">
      <c r="A3" s="60" t="s">
        <v>103</v>
      </c>
    </row>
    <row r="4" spans="1:1" x14ac:dyDescent="0.35">
      <c r="A4" s="60"/>
    </row>
    <row r="5" spans="1:1" ht="13.9" x14ac:dyDescent="0.4">
      <c r="A5" s="162" t="s">
        <v>100</v>
      </c>
    </row>
    <row r="6" spans="1:1" x14ac:dyDescent="0.35">
      <c r="A6" s="163" t="s">
        <v>89</v>
      </c>
    </row>
    <row r="31" ht="9.75" customHeight="1" x14ac:dyDescent="0.35"/>
  </sheetData>
  <phoneticPr fontId="18" type="noConversion"/>
  <hyperlinks>
    <hyperlink ref="A6" r:id="rId1" xr:uid="{00000000-0004-0000-0000-000000000000}"/>
  </hyperlinks>
  <pageMargins left="0.75" right="0.75" top="1" bottom="1" header="0.5" footer="0.5"/>
  <pageSetup scale="87" orientation="portrait" r:id="rId2"/>
  <headerFooter alignWithMargins="0"/>
  <customProperties>
    <customPr name="fd943e9f2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6"/>
  <sheetViews>
    <sheetView zoomScale="80" zoomScaleNormal="80" workbookViewId="0">
      <selection activeCell="B20" sqref="B20"/>
    </sheetView>
  </sheetViews>
  <sheetFormatPr defaultColWidth="8.5703125" defaultRowHeight="12.4" x14ac:dyDescent="0.35"/>
  <cols>
    <col min="1" max="1" width="34.35546875" customWidth="1"/>
    <col min="2" max="2" width="57.5703125" customWidth="1"/>
  </cols>
  <sheetData>
    <row r="1" spans="1:4" ht="17.649999999999999" x14ac:dyDescent="0.5">
      <c r="A1" s="108" t="s">
        <v>60</v>
      </c>
    </row>
    <row r="2" spans="1:4" ht="17.649999999999999" x14ac:dyDescent="0.5">
      <c r="A2" s="108" t="s">
        <v>101</v>
      </c>
    </row>
    <row r="3" spans="1:4" x14ac:dyDescent="0.35">
      <c r="A3" s="60" t="s">
        <v>103</v>
      </c>
    </row>
    <row r="4" spans="1:4" ht="18" customHeight="1" x14ac:dyDescent="0.35">
      <c r="A4" s="62"/>
      <c r="B4" s="61"/>
      <c r="C4" s="1"/>
      <c r="D4" s="1"/>
    </row>
    <row r="5" spans="1:4" ht="18" customHeight="1" x14ac:dyDescent="0.35">
      <c r="A5" s="63" t="s">
        <v>61</v>
      </c>
      <c r="B5" s="61"/>
      <c r="C5" s="1"/>
      <c r="D5" s="1"/>
    </row>
    <row r="6" spans="1:4" ht="18" customHeight="1" x14ac:dyDescent="0.35">
      <c r="A6" s="64"/>
      <c r="B6" s="63"/>
      <c r="C6" s="1"/>
      <c r="D6" s="1"/>
    </row>
    <row r="7" spans="1:4" ht="24" customHeight="1" x14ac:dyDescent="0.35">
      <c r="A7" s="65" t="s">
        <v>102</v>
      </c>
      <c r="B7" s="66"/>
      <c r="C7" s="1"/>
      <c r="D7" s="1"/>
    </row>
    <row r="8" spans="1:4" ht="24" customHeight="1" x14ac:dyDescent="0.35">
      <c r="A8" s="67" t="s">
        <v>62</v>
      </c>
      <c r="B8" s="66"/>
      <c r="C8" s="1"/>
      <c r="D8" s="1"/>
    </row>
    <row r="9" spans="1:4" ht="24" customHeight="1" x14ac:dyDescent="0.35">
      <c r="A9" s="67" t="s">
        <v>63</v>
      </c>
      <c r="B9" s="66"/>
      <c r="C9" s="68"/>
      <c r="D9" s="1"/>
    </row>
    <row r="10" spans="1:4" ht="24" customHeight="1" x14ac:dyDescent="0.35">
      <c r="A10" s="67" t="s">
        <v>85</v>
      </c>
      <c r="B10" s="66"/>
      <c r="C10" s="68"/>
      <c r="D10" s="1"/>
    </row>
    <row r="11" spans="1:4" ht="24" customHeight="1" x14ac:dyDescent="0.35">
      <c r="A11" s="69" t="s">
        <v>64</v>
      </c>
      <c r="B11" s="66"/>
      <c r="C11" s="1"/>
      <c r="D11" s="1"/>
    </row>
    <row r="12" spans="1:4" ht="24" customHeight="1" x14ac:dyDescent="0.35">
      <c r="A12" s="70" t="s">
        <v>65</v>
      </c>
      <c r="B12" s="66"/>
      <c r="C12" s="1"/>
      <c r="D12" s="1"/>
    </row>
    <row r="13" spans="1:4" ht="24" customHeight="1" x14ac:dyDescent="0.35">
      <c r="A13" s="71" t="s">
        <v>66</v>
      </c>
      <c r="B13" s="72"/>
      <c r="C13" s="1"/>
      <c r="D13" s="1"/>
    </row>
    <row r="14" spans="1:4" ht="24" customHeight="1" x14ac:dyDescent="0.35">
      <c r="A14" s="73" t="s">
        <v>67</v>
      </c>
      <c r="B14" s="74"/>
      <c r="C14" s="1"/>
      <c r="D14" s="1"/>
    </row>
    <row r="15" spans="1:4" ht="24" customHeight="1" x14ac:dyDescent="0.35">
      <c r="A15" s="73" t="s">
        <v>68</v>
      </c>
      <c r="B15" s="74"/>
      <c r="C15" s="68"/>
      <c r="D15" s="1"/>
    </row>
    <row r="16" spans="1:4" ht="24" customHeight="1" x14ac:dyDescent="0.35">
      <c r="A16" s="73" t="s">
        <v>69</v>
      </c>
      <c r="B16" s="74"/>
      <c r="C16" s="68"/>
      <c r="D16" s="1"/>
    </row>
    <row r="17" spans="1:4" ht="24" customHeight="1" x14ac:dyDescent="0.35">
      <c r="A17" s="73" t="s">
        <v>70</v>
      </c>
      <c r="B17" s="74"/>
      <c r="C17" s="68"/>
      <c r="D17" s="1"/>
    </row>
    <row r="18" spans="1:4" ht="24" customHeight="1" x14ac:dyDescent="0.35">
      <c r="A18" s="73" t="s">
        <v>71</v>
      </c>
      <c r="B18" s="75"/>
      <c r="C18" s="68"/>
      <c r="D18" s="1"/>
    </row>
    <row r="19" spans="1:4" ht="24" customHeight="1" x14ac:dyDescent="0.35">
      <c r="A19" s="73" t="s">
        <v>72</v>
      </c>
      <c r="B19" s="74"/>
      <c r="C19" s="1"/>
      <c r="D19" s="1"/>
    </row>
    <row r="20" spans="1:4" ht="24" customHeight="1" x14ac:dyDescent="0.35">
      <c r="A20" s="73" t="s">
        <v>73</v>
      </c>
      <c r="B20" s="74"/>
      <c r="C20" s="1"/>
      <c r="D20" s="1"/>
    </row>
    <row r="21" spans="1:4" ht="24" customHeight="1" x14ac:dyDescent="0.35">
      <c r="A21" s="73" t="s">
        <v>74</v>
      </c>
      <c r="B21" s="74"/>
      <c r="C21" s="1"/>
      <c r="D21" s="1"/>
    </row>
    <row r="22" spans="1:4" ht="24" customHeight="1" x14ac:dyDescent="0.35">
      <c r="A22" s="76" t="s">
        <v>0</v>
      </c>
      <c r="B22" s="77"/>
      <c r="C22" s="1"/>
      <c r="D22" s="1"/>
    </row>
    <row r="23" spans="1:4" ht="24" customHeight="1" x14ac:dyDescent="0.35">
      <c r="A23" s="71" t="s">
        <v>1</v>
      </c>
      <c r="B23" s="78"/>
    </row>
    <row r="24" spans="1:4" ht="24" customHeight="1" x14ac:dyDescent="0.35">
      <c r="A24" s="73" t="s">
        <v>2</v>
      </c>
      <c r="B24" s="79"/>
    </row>
    <row r="25" spans="1:4" ht="24" customHeight="1" x14ac:dyDescent="0.35">
      <c r="A25" s="73" t="s">
        <v>3</v>
      </c>
      <c r="B25" s="79"/>
    </row>
    <row r="26" spans="1:4" ht="24" customHeight="1" x14ac:dyDescent="0.35">
      <c r="A26" s="76" t="s">
        <v>4</v>
      </c>
      <c r="B26" s="79"/>
    </row>
  </sheetData>
  <protectedRanges>
    <protectedRange sqref="B11:B26" name="Range1"/>
  </protectedRanges>
  <phoneticPr fontId="18" type="noConversion"/>
  <pageMargins left="0.75" right="0.75" top="1" bottom="1" header="0.5" footer="0.5"/>
  <pageSetup orientation="portrait" r:id="rId1"/>
  <headerFooter alignWithMargins="0"/>
  <customProperties>
    <customPr name="ff53a6af9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795"/>
  <sheetViews>
    <sheetView zoomScale="70" zoomScaleNormal="70" workbookViewId="0">
      <selection activeCell="I24" sqref="I24"/>
    </sheetView>
  </sheetViews>
  <sheetFormatPr defaultColWidth="8.5703125" defaultRowHeight="12.4" x14ac:dyDescent="0.35"/>
  <cols>
    <col min="1" max="1" width="81.7109375" bestFit="1" customWidth="1"/>
    <col min="2" max="2" width="11" customWidth="1"/>
    <col min="3" max="3" width="13.140625" customWidth="1"/>
    <col min="4" max="4" width="35.7109375" bestFit="1" customWidth="1"/>
    <col min="5" max="5" width="18.5703125" customWidth="1"/>
    <col min="6" max="6" width="16" customWidth="1"/>
    <col min="7" max="7" width="14.28515625" customWidth="1"/>
    <col min="8" max="8" width="11.5703125" customWidth="1"/>
    <col min="9" max="9" width="13" customWidth="1"/>
    <col min="10" max="10" width="15" customWidth="1"/>
    <col min="11" max="11" width="16.140625" customWidth="1"/>
    <col min="12" max="12" width="15" customWidth="1"/>
    <col min="13" max="13" width="14.140625" customWidth="1"/>
    <col min="14" max="14" width="13.42578125" customWidth="1"/>
    <col min="15" max="15" width="14.42578125" customWidth="1"/>
    <col min="16" max="16" width="14.140625" customWidth="1"/>
    <col min="17" max="17" width="12.140625" customWidth="1"/>
    <col min="18" max="18" width="14.42578125" customWidth="1"/>
    <col min="19" max="19" width="13.28515625" customWidth="1"/>
    <col min="20" max="21" width="13.85546875" customWidth="1"/>
    <col min="22" max="22" width="13.5703125" customWidth="1"/>
    <col min="23" max="23" width="13" customWidth="1"/>
    <col min="24" max="24" width="8.5703125" customWidth="1"/>
    <col min="25" max="25" width="9.85546875" customWidth="1"/>
    <col min="26" max="27" width="8.5703125" customWidth="1"/>
    <col min="28" max="28" width="9.85546875" customWidth="1"/>
  </cols>
  <sheetData>
    <row r="1" spans="1:36" s="160" customFormat="1" ht="18.75" x14ac:dyDescent="0.5">
      <c r="A1" s="108" t="s">
        <v>60</v>
      </c>
    </row>
    <row r="2" spans="1:36" s="160" customFormat="1" ht="18.75" x14ac:dyDescent="0.5">
      <c r="A2" s="108" t="s">
        <v>101</v>
      </c>
    </row>
    <row r="3" spans="1:36" x14ac:dyDescent="0.35">
      <c r="A3" s="60" t="s">
        <v>103</v>
      </c>
    </row>
    <row r="4" spans="1:36" ht="12.75" x14ac:dyDescent="0.35">
      <c r="A4" s="60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1"/>
    </row>
    <row r="5" spans="1:36" s="149" customFormat="1" ht="15.4" x14ac:dyDescent="0.45">
      <c r="A5" s="146" t="s">
        <v>92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36" s="149" customFormat="1" ht="15" customHeight="1" thickBot="1" x14ac:dyDescent="0.5">
      <c r="A6" s="23"/>
      <c r="B6" s="147"/>
      <c r="C6" s="147"/>
      <c r="D6" s="147"/>
      <c r="E6" s="147"/>
      <c r="F6" s="147"/>
      <c r="G6" s="147"/>
      <c r="H6" s="147"/>
      <c r="I6" s="147"/>
      <c r="J6" s="147"/>
      <c r="K6" s="25"/>
      <c r="L6" s="25"/>
    </row>
    <row r="7" spans="1:36" s="2" customFormat="1" ht="15.4" x14ac:dyDescent="0.45">
      <c r="A7" s="93" t="s">
        <v>5</v>
      </c>
      <c r="B7" s="94"/>
      <c r="C7" s="95"/>
      <c r="D7" s="53"/>
      <c r="E7" s="52"/>
      <c r="F7" s="24"/>
      <c r="G7" s="53"/>
      <c r="H7" s="25"/>
      <c r="L7" s="25"/>
    </row>
    <row r="8" spans="1:36" s="2" customFormat="1" ht="15.4" x14ac:dyDescent="0.45">
      <c r="A8" s="26" t="s">
        <v>10</v>
      </c>
      <c r="B8" s="25"/>
      <c r="C8" s="105"/>
      <c r="D8" s="54"/>
      <c r="E8" s="52"/>
      <c r="F8" s="24"/>
      <c r="G8" s="53"/>
      <c r="H8" s="25"/>
      <c r="L8" s="25"/>
    </row>
    <row r="9" spans="1:36" s="2" customFormat="1" ht="15.4" x14ac:dyDescent="0.45">
      <c r="A9" s="26" t="s">
        <v>11</v>
      </c>
      <c r="B9" s="25"/>
      <c r="C9" s="106"/>
      <c r="D9" s="54"/>
      <c r="E9" s="24"/>
      <c r="F9" s="25"/>
      <c r="G9" s="53"/>
      <c r="H9" s="25"/>
      <c r="L9" s="25"/>
    </row>
    <row r="10" spans="1:36" s="2" customFormat="1" ht="15.75" thickBot="1" x14ac:dyDescent="0.5">
      <c r="A10" s="26" t="s">
        <v>12</v>
      </c>
      <c r="B10" s="25"/>
      <c r="C10" s="106"/>
      <c r="D10" s="54"/>
      <c r="E10" s="24"/>
      <c r="F10" s="25"/>
      <c r="G10" s="53"/>
      <c r="H10" s="25"/>
      <c r="L10" s="25"/>
    </row>
    <row r="11" spans="1:36" s="2" customFormat="1" ht="15.75" thickBot="1" x14ac:dyDescent="0.5">
      <c r="A11" s="26" t="s">
        <v>13</v>
      </c>
      <c r="B11" s="25"/>
      <c r="C11" s="128" t="s">
        <v>91</v>
      </c>
      <c r="D11" s="117"/>
      <c r="E11" s="118" t="s">
        <v>86</v>
      </c>
      <c r="F11" s="150" t="s">
        <v>91</v>
      </c>
      <c r="H11" s="116"/>
      <c r="I11" s="116"/>
      <c r="K11" s="25"/>
    </row>
    <row r="12" spans="1:36" s="2" customFormat="1" ht="16.149999999999999" thickTop="1" thickBot="1" x14ac:dyDescent="0.5">
      <c r="A12" s="27" t="s">
        <v>14</v>
      </c>
      <c r="B12" s="151"/>
      <c r="C12" s="107">
        <f>TFCA_Cost_40_Percent</f>
        <v>0</v>
      </c>
      <c r="D12" s="25"/>
      <c r="E12" s="25"/>
      <c r="F12" s="25"/>
      <c r="G12" s="25"/>
      <c r="H12" s="25"/>
      <c r="I12" s="25"/>
      <c r="J12" s="25"/>
      <c r="K12" s="25"/>
      <c r="L12" s="25"/>
    </row>
    <row r="13" spans="1:36" s="2" customFormat="1" ht="15.75" thickBot="1" x14ac:dyDescent="0.5">
      <c r="A13" s="25"/>
      <c r="B13" s="25"/>
      <c r="C13" s="25"/>
      <c r="D13" s="25"/>
      <c r="E13" s="25"/>
      <c r="F13" s="25"/>
      <c r="G13" s="24"/>
      <c r="H13" s="24"/>
      <c r="I13" s="28"/>
      <c r="J13" s="25"/>
      <c r="K13" s="24"/>
      <c r="L13" s="25"/>
    </row>
    <row r="14" spans="1:36" s="5" customFormat="1" ht="15.4" x14ac:dyDescent="0.45">
      <c r="A14" s="96" t="s">
        <v>15</v>
      </c>
      <c r="B14" s="97"/>
      <c r="C14" s="97"/>
      <c r="D14" s="97"/>
      <c r="E14" s="97"/>
      <c r="F14" s="98"/>
      <c r="G14" s="97"/>
      <c r="H14" s="99"/>
      <c r="I14" s="99"/>
      <c r="J14" s="99"/>
      <c r="K14" s="99"/>
      <c r="L14" s="100"/>
      <c r="M14" s="3"/>
      <c r="N14" s="3"/>
      <c r="O14" s="3"/>
      <c r="P14" s="3"/>
      <c r="Q14" s="2"/>
      <c r="R14" s="2"/>
      <c r="S14" s="2"/>
      <c r="T14" s="2"/>
      <c r="U14" s="2"/>
      <c r="V14" s="4"/>
      <c r="Z14" s="6"/>
      <c r="AA14" s="6"/>
      <c r="AB14" s="2"/>
    </row>
    <row r="15" spans="1:36" s="2" customFormat="1" ht="15.4" x14ac:dyDescent="0.45">
      <c r="A15" s="29" t="s">
        <v>16</v>
      </c>
      <c r="B15" s="30" t="s">
        <v>17</v>
      </c>
      <c r="C15" s="30" t="s">
        <v>18</v>
      </c>
      <c r="D15" s="30" t="s">
        <v>19</v>
      </c>
      <c r="E15" s="30" t="s">
        <v>20</v>
      </c>
      <c r="F15" s="30" t="s">
        <v>21</v>
      </c>
      <c r="G15" s="30" t="s">
        <v>22</v>
      </c>
      <c r="H15" s="30" t="s">
        <v>23</v>
      </c>
      <c r="I15" s="30" t="s">
        <v>24</v>
      </c>
      <c r="J15" s="30" t="s">
        <v>25</v>
      </c>
      <c r="K15" s="31" t="s">
        <v>26</v>
      </c>
      <c r="L15" s="32" t="s">
        <v>56</v>
      </c>
      <c r="M15" s="149"/>
      <c r="N15" s="11"/>
    </row>
    <row r="16" spans="1:36" s="2" customFormat="1" ht="64.7" customHeight="1" x14ac:dyDescent="0.45">
      <c r="A16" s="33" t="s">
        <v>84</v>
      </c>
      <c r="B16" s="34" t="s">
        <v>27</v>
      </c>
      <c r="C16" s="34" t="s">
        <v>28</v>
      </c>
      <c r="D16" s="34" t="s">
        <v>29</v>
      </c>
      <c r="E16" s="34" t="s">
        <v>82</v>
      </c>
      <c r="F16" s="34" t="s">
        <v>30</v>
      </c>
      <c r="G16" s="34" t="s">
        <v>31</v>
      </c>
      <c r="H16" s="34" t="s">
        <v>32</v>
      </c>
      <c r="I16" s="34" t="s">
        <v>33</v>
      </c>
      <c r="J16" s="34" t="s">
        <v>34</v>
      </c>
      <c r="K16" s="35" t="s">
        <v>57</v>
      </c>
      <c r="L16" s="36" t="s">
        <v>35</v>
      </c>
      <c r="M16" s="10" t="s">
        <v>7</v>
      </c>
      <c r="N16" s="10" t="s">
        <v>46</v>
      </c>
      <c r="O16" s="10" t="s">
        <v>53</v>
      </c>
      <c r="P16" s="10" t="s">
        <v>47</v>
      </c>
      <c r="Q16" s="10" t="s">
        <v>48</v>
      </c>
      <c r="R16" s="10" t="s">
        <v>49</v>
      </c>
      <c r="S16" s="10" t="s">
        <v>50</v>
      </c>
      <c r="T16" s="10" t="s">
        <v>54</v>
      </c>
      <c r="U16" s="10" t="s">
        <v>55</v>
      </c>
      <c r="V16" s="122" t="s">
        <v>51</v>
      </c>
      <c r="W16" s="122" t="s">
        <v>52</v>
      </c>
      <c r="X16" s="149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4" s="2" customFormat="1" ht="24" customHeight="1" x14ac:dyDescent="0.45">
      <c r="A17" s="81" t="s">
        <v>83</v>
      </c>
      <c r="B17" s="82">
        <v>4.5</v>
      </c>
      <c r="C17" s="82">
        <v>250</v>
      </c>
      <c r="D17" s="82" t="s">
        <v>8</v>
      </c>
      <c r="E17" s="83">
        <v>7000</v>
      </c>
      <c r="F17" s="82">
        <v>21.5</v>
      </c>
      <c r="G17" s="110">
        <v>25</v>
      </c>
      <c r="H17" s="84">
        <f>G17/F17-1</f>
        <v>0.16279069767441867</v>
      </c>
      <c r="I17" s="85">
        <f>(B17*C17*E17*(P17-Q17))/454</f>
        <v>173.45814977973583</v>
      </c>
      <c r="J17" s="85">
        <f>(B17*C17*E17*(R17- S17))/454</f>
        <v>303.55176211453772</v>
      </c>
      <c r="K17" s="85">
        <f>(B17*C17*E17*(T17-U17)/454)</f>
        <v>23.416850220264326</v>
      </c>
      <c r="L17" s="86">
        <f>(B17*C17*E17*(V17- W17))/454</f>
        <v>285338.65638766502</v>
      </c>
      <c r="M17" s="12">
        <f>(F17+G17)/2</f>
        <v>23.25</v>
      </c>
      <c r="N17" s="12">
        <f>F17-(INT(F17))</f>
        <v>0.5</v>
      </c>
      <c r="O17" s="12">
        <f>M17-(INT(M17))</f>
        <v>0.25</v>
      </c>
      <c r="P17" s="14">
        <f>VLOOKUP(ROUNDDOWN($F17,0),'Emission Factors'!$A$9:$E$69,2)-((VLOOKUP(ROUNDDOWN($F17,0),'Emission Factors'!$A$9:$E$69,2))-(VLOOKUP(ROUNDUP($F17,0),'Emission Factors'!$A$9:$E$69,2)))*$N17</f>
        <v>7.0000000000000007E-2</v>
      </c>
      <c r="Q17" s="14">
        <f>VLOOKUP(ROUNDDOWN($M17,0),'Emission Factors'!$A$9:$E$69,2)-((VLOOKUP(ROUNDDOWN($M17,0),'Emission Factors'!$A$9:$E$69,2))-(VLOOKUP(ROUNDUP($M17,0),'Emission Factors'!$A$9:$E$69,2)))*$O17</f>
        <v>0.06</v>
      </c>
      <c r="R17" s="14">
        <f>VLOOKUP(ROUNDDOWN($F17,0),'Emission Factors'!$A$9:$E$69,3)-((VLOOKUP(ROUNDDOWN($F17,0),'Emission Factors'!$A$9:$E$69,3))-(VLOOKUP(ROUNDUP($F17,0),'Emission Factors'!$A$9:$E$69,3)))*$N17</f>
        <v>0.39500000000000002</v>
      </c>
      <c r="S17" s="14">
        <f>VLOOKUP(ROUNDDOWN($M17,0),'Emission Factors'!$A$9:$E$69,3)-((VLOOKUP(ROUNDDOWN($M17,0),'Emission Factors'!$A$9:$E$69,3))-(VLOOKUP(ROUNDUP($M17,0),'Emission Factors'!$A$9:$E$69,3)))*$O17</f>
        <v>0.3775</v>
      </c>
      <c r="T17" s="14">
        <f>VLOOKUP(ROUNDDOWN($F17,0),'Emission Factors'!$A$9:$E$69,4)-((VLOOKUP(ROUNDDOWN($F17,0),'Emission Factors'!$A$9:$E$69,4))-(VLOOKUP(ROUNDUP($F17,0),'Emission Factors'!$A$9:$E$69,4)))*$N17</f>
        <v>1.0800000000000001E-2</v>
      </c>
      <c r="U17" s="14">
        <f>VLOOKUP(ROUNDDOWN($M17,0),'Emission Factors'!$A$9:$E$69,4)-((VLOOKUP(ROUNDDOWN($M17,0),'Emission Factors'!$A$9:$E$69,4))-(VLOOKUP(ROUNDUP($M17,0),'Emission Factors'!$A$9:$E$69,4)))*$O17</f>
        <v>9.4500000000000001E-3</v>
      </c>
      <c r="V17" s="123">
        <f>VLOOKUP(ROUNDDOWN($F17,0),'Emission Factors'!$A$9:$E$69,5)-((VLOOKUP(ROUNDDOWN($F17,0),'Emission Factors'!$A$9:$E$69,5))-(VLOOKUP(ROUNDUP($F17,0),'Emission Factors'!$A$9:$E$69,5)))*$N17</f>
        <v>309.89999999999998</v>
      </c>
      <c r="W17" s="123">
        <f>VLOOKUP(ROUNDDOWN($M17,0),'Emission Factors'!$A$9:$E$69,5)-((VLOOKUP(ROUNDDOWN($M17,0),'Emission Factors'!$A$9:$E$69,5))-(VLOOKUP(ROUNDUP($M17,0),'Emission Factors'!$A$9:$E$69,5)))*$O17</f>
        <v>293.45</v>
      </c>
      <c r="X17" s="149"/>
      <c r="AA17" s="13"/>
      <c r="AD17" s="13"/>
      <c r="AE17" s="12"/>
      <c r="AF17" s="12"/>
      <c r="AH17" s="13"/>
    </row>
    <row r="18" spans="1:34" s="2" customFormat="1" ht="21" customHeight="1" x14ac:dyDescent="0.45">
      <c r="A18" s="87"/>
      <c r="B18" s="88"/>
      <c r="C18" s="88"/>
      <c r="D18" s="88"/>
      <c r="E18" s="89"/>
      <c r="F18" s="124">
        <v>5</v>
      </c>
      <c r="G18" s="124">
        <v>5</v>
      </c>
      <c r="H18" s="90">
        <f>G18/F18-1</f>
        <v>0</v>
      </c>
      <c r="I18" s="91">
        <f>(B18*C18*E18*(P18-Q18))/454</f>
        <v>0</v>
      </c>
      <c r="J18" s="91">
        <f>(B18*C18*E18*(R18- S18))/454</f>
        <v>0</v>
      </c>
      <c r="K18" s="91">
        <f>(B18*C18*E18*(T18-U18)/454)</f>
        <v>0</v>
      </c>
      <c r="L18" s="126">
        <f>(B18*C18*E18*(V18- W18))/454</f>
        <v>0</v>
      </c>
      <c r="M18" s="12">
        <f>(F18+G18)/2</f>
        <v>5</v>
      </c>
      <c r="N18" s="12">
        <f>F18-(INT(F18))</f>
        <v>0</v>
      </c>
      <c r="O18" s="12">
        <f>M18-(INT(M18))</f>
        <v>0</v>
      </c>
      <c r="P18" s="14">
        <f>VLOOKUP(ROUNDDOWN($F18,0),'Emission Factors'!$A$9:$E$69,2)-((VLOOKUP(ROUNDDOWN($F18,0),'Emission Factors'!$A$9:$E$69,2))-(VLOOKUP(ROUNDUP($F18,0),'Emission Factors'!$A$9:$E$69,2)))*$N18</f>
        <v>0.25</v>
      </c>
      <c r="Q18" s="14">
        <f>VLOOKUP(ROUNDDOWN($M18,0),'Emission Factors'!$A$9:$E$69,2)-((VLOOKUP(ROUNDDOWN($M18,0),'Emission Factors'!$A$9:$E$69,2))-(VLOOKUP(ROUNDUP($M18,0),'Emission Factors'!$A$9:$E$69,2)))*$O18</f>
        <v>0.25</v>
      </c>
      <c r="R18" s="14">
        <f>VLOOKUP(ROUNDDOWN($F18,0),'Emission Factors'!$A$9:$E$69,3)-((VLOOKUP(ROUNDDOWN($F18,0),'Emission Factors'!$A$9:$E$69,3))-(VLOOKUP(ROUNDUP($F18,0),'Emission Factors'!$A$9:$E$69,3)))*$N18</f>
        <v>0.83</v>
      </c>
      <c r="S18" s="14">
        <f>VLOOKUP(ROUNDDOWN($M18,0),'Emission Factors'!$A$9:$E$69,3)-((VLOOKUP(ROUNDDOWN($M18,0),'Emission Factors'!$A$9:$E$69,3))-(VLOOKUP(ROUNDUP($M18,0),'Emission Factors'!$A$9:$E$69,3)))*$O18</f>
        <v>0.83</v>
      </c>
      <c r="T18" s="14">
        <f>VLOOKUP(ROUNDDOWN($F18,0),'Emission Factors'!$A$9:$E$69,4)-((VLOOKUP(ROUNDDOWN($F18,0),'Emission Factors'!$A$9:$E$69,4))-(VLOOKUP(ROUNDUP($F18,0),'Emission Factors'!$A$9:$E$69,4)))*$N18</f>
        <v>2.1600000000000001E-2</v>
      </c>
      <c r="U18" s="14">
        <f>VLOOKUP(ROUNDDOWN($M18,0),'Emission Factors'!$A$9:$E$69,4)-((VLOOKUP(ROUNDDOWN($M18,0),'Emission Factors'!$A$9:$E$69,4))-(VLOOKUP(ROUNDUP($M18,0),'Emission Factors'!$A$9:$E$69,4)))*$O18</f>
        <v>2.1600000000000001E-2</v>
      </c>
      <c r="V18" s="123">
        <f>VLOOKUP(ROUNDDOWN($F18,0),'Emission Factors'!$A$9:$E$69,5)-((VLOOKUP(ROUNDDOWN($F18,0),'Emission Factors'!$A$9:$E$69,5))-(VLOOKUP(ROUNDUP($F18,0),'Emission Factors'!$A$9:$E$69,5)))*$N18</f>
        <v>592</v>
      </c>
      <c r="W18" s="123">
        <f>VLOOKUP(ROUNDDOWN($M18,0),'Emission Factors'!$A$9:$E$69,5)-((VLOOKUP(ROUNDDOWN($M18,0),'Emission Factors'!$A$9:$E$69,5))-(VLOOKUP(ROUNDUP($M18,0),'Emission Factors'!$A$9:$E$69,5)))*$O18</f>
        <v>592</v>
      </c>
      <c r="X18" s="149"/>
      <c r="AA18" s="13"/>
      <c r="AD18" s="13"/>
      <c r="AE18" s="12"/>
      <c r="AF18" s="12"/>
      <c r="AH18" s="13"/>
    </row>
    <row r="19" spans="1:34" s="2" customFormat="1" ht="21" customHeight="1" x14ac:dyDescent="0.45">
      <c r="A19" s="87"/>
      <c r="B19" s="88"/>
      <c r="C19" s="88"/>
      <c r="D19" s="88"/>
      <c r="E19" s="89"/>
      <c r="F19" s="124">
        <v>5</v>
      </c>
      <c r="G19" s="124">
        <v>5</v>
      </c>
      <c r="H19" s="90">
        <f t="shared" ref="H19:H23" si="0">G19/F19-1</f>
        <v>0</v>
      </c>
      <c r="I19" s="91">
        <f t="shared" ref="I19:I23" si="1">(B19*C19*E19*(P19-Q19))/454</f>
        <v>0</v>
      </c>
      <c r="J19" s="91">
        <f t="shared" ref="J19:J23" si="2">(B19*C19*E19*(R19- S19))/454</f>
        <v>0</v>
      </c>
      <c r="K19" s="91">
        <f t="shared" ref="K19:K23" si="3">(B19*C19*E19*(T19-U19)/454)</f>
        <v>0</v>
      </c>
      <c r="L19" s="126">
        <f t="shared" ref="L19:L23" si="4">(B19*C19*E19*(V19- W19))/454</f>
        <v>0</v>
      </c>
      <c r="M19" s="12">
        <f t="shared" ref="M19:M23" si="5">(F19+G19)/2</f>
        <v>5</v>
      </c>
      <c r="N19" s="12">
        <f t="shared" ref="N19:N23" si="6">F19-(INT(F19))</f>
        <v>0</v>
      </c>
      <c r="O19" s="12">
        <f t="shared" ref="O19:O23" si="7">M19-(INT(M19))</f>
        <v>0</v>
      </c>
      <c r="P19" s="14">
        <f>VLOOKUP(ROUNDDOWN($F19,0),'Emission Factors'!$A$9:$E$69,2)-((VLOOKUP(ROUNDDOWN($F19,0),'Emission Factors'!$A$9:$E$69,2))-(VLOOKUP(ROUNDUP($F19,0),'Emission Factors'!$A$9:$E$69,2)))*$N19</f>
        <v>0.25</v>
      </c>
      <c r="Q19" s="14">
        <f>VLOOKUP(ROUNDDOWN($M19,0),'Emission Factors'!$A$9:$E$69,2)-((VLOOKUP(ROUNDDOWN($M19,0),'Emission Factors'!$A$9:$E$69,2))-(VLOOKUP(ROUNDUP($M19,0),'Emission Factors'!$A$9:$E$69,2)))*$O19</f>
        <v>0.25</v>
      </c>
      <c r="R19" s="14">
        <f>VLOOKUP(ROUNDDOWN($F19,0),'Emission Factors'!$A$9:$E$69,3)-((VLOOKUP(ROUNDDOWN($F19,0),'Emission Factors'!$A$9:$E$69,3))-(VLOOKUP(ROUNDUP($F19,0),'Emission Factors'!$A$9:$E$69,3)))*$N19</f>
        <v>0.83</v>
      </c>
      <c r="S19" s="14">
        <f>VLOOKUP(ROUNDDOWN($M19,0),'Emission Factors'!$A$9:$E$69,3)-((VLOOKUP(ROUNDDOWN($M19,0),'Emission Factors'!$A$9:$E$69,3))-(VLOOKUP(ROUNDUP($M19,0),'Emission Factors'!$A$9:$E$69,3)))*$O19</f>
        <v>0.83</v>
      </c>
      <c r="T19" s="14">
        <f>VLOOKUP(ROUNDDOWN($F19,0),'Emission Factors'!$A$9:$E$69,4)-((VLOOKUP(ROUNDDOWN($F19,0),'Emission Factors'!$A$9:$E$69,4))-(VLOOKUP(ROUNDUP($F19,0),'Emission Factors'!$A$9:$E$69,4)))*$N19</f>
        <v>2.1600000000000001E-2</v>
      </c>
      <c r="U19" s="14">
        <f>VLOOKUP(ROUNDDOWN($M19,0),'Emission Factors'!$A$9:$E$69,4)-((VLOOKUP(ROUNDDOWN($M19,0),'Emission Factors'!$A$9:$E$69,4))-(VLOOKUP(ROUNDUP($M19,0),'Emission Factors'!$A$9:$E$69,4)))*$O19</f>
        <v>2.1600000000000001E-2</v>
      </c>
      <c r="V19" s="123">
        <f>VLOOKUP(ROUNDDOWN($F19,0),'Emission Factors'!$A$9:$E$69,5)-((VLOOKUP(ROUNDDOWN($F19,0),'Emission Factors'!$A$9:$E$69,5))-(VLOOKUP(ROUNDUP($F19,0),'Emission Factors'!$A$9:$E$69,5)))*$N19</f>
        <v>592</v>
      </c>
      <c r="W19" s="123">
        <f>VLOOKUP(ROUNDDOWN($M19,0),'Emission Factors'!$A$9:$E$69,5)-((VLOOKUP(ROUNDDOWN($M19,0),'Emission Factors'!$A$9:$E$69,5))-(VLOOKUP(ROUNDUP($M19,0),'Emission Factors'!$A$9:$E$69,5)))*$O19</f>
        <v>592</v>
      </c>
      <c r="X19" s="149"/>
      <c r="AA19" s="13"/>
      <c r="AD19" s="13"/>
      <c r="AE19" s="12"/>
      <c r="AF19" s="12"/>
      <c r="AH19" s="13"/>
    </row>
    <row r="20" spans="1:34" s="2" customFormat="1" ht="21" customHeight="1" x14ac:dyDescent="0.45">
      <c r="A20" s="87"/>
      <c r="B20" s="88"/>
      <c r="C20" s="88"/>
      <c r="D20" s="88"/>
      <c r="E20" s="89"/>
      <c r="F20" s="124">
        <v>5</v>
      </c>
      <c r="G20" s="124">
        <v>5</v>
      </c>
      <c r="H20" s="90">
        <f t="shared" si="0"/>
        <v>0</v>
      </c>
      <c r="I20" s="91">
        <f t="shared" si="1"/>
        <v>0</v>
      </c>
      <c r="J20" s="91">
        <f t="shared" si="2"/>
        <v>0</v>
      </c>
      <c r="K20" s="91">
        <f t="shared" si="3"/>
        <v>0</v>
      </c>
      <c r="L20" s="126">
        <f t="shared" si="4"/>
        <v>0</v>
      </c>
      <c r="M20" s="12">
        <f t="shared" si="5"/>
        <v>5</v>
      </c>
      <c r="N20" s="12">
        <f t="shared" si="6"/>
        <v>0</v>
      </c>
      <c r="O20" s="12">
        <f t="shared" si="7"/>
        <v>0</v>
      </c>
      <c r="P20" s="14">
        <f>VLOOKUP(ROUNDDOWN($F20,0),'Emission Factors'!$A$9:$E$69,2)-((VLOOKUP(ROUNDDOWN($F20,0),'Emission Factors'!$A$9:$E$69,2))-(VLOOKUP(ROUNDUP($F20,0),'Emission Factors'!$A$9:$E$69,2)))*$N20</f>
        <v>0.25</v>
      </c>
      <c r="Q20" s="14">
        <f>VLOOKUP(ROUNDDOWN($M20,0),'Emission Factors'!$A$9:$E$69,2)-((VLOOKUP(ROUNDDOWN($M20,0),'Emission Factors'!$A$9:$E$69,2))-(VLOOKUP(ROUNDUP($M20,0),'Emission Factors'!$A$9:$E$69,2)))*$O20</f>
        <v>0.25</v>
      </c>
      <c r="R20" s="14">
        <f>VLOOKUP(ROUNDDOWN($F20,0),'Emission Factors'!$A$9:$E$69,3)-((VLOOKUP(ROUNDDOWN($F20,0),'Emission Factors'!$A$9:$E$69,3))-(VLOOKUP(ROUNDUP($F20,0),'Emission Factors'!$A$9:$E$69,3)))*$N20</f>
        <v>0.83</v>
      </c>
      <c r="S20" s="14">
        <f>VLOOKUP(ROUNDDOWN($M20,0),'Emission Factors'!$A$9:$E$69,3)-((VLOOKUP(ROUNDDOWN($M20,0),'Emission Factors'!$A$9:$E$69,3))-(VLOOKUP(ROUNDUP($M20,0),'Emission Factors'!$A$9:$E$69,3)))*$O20</f>
        <v>0.83</v>
      </c>
      <c r="T20" s="14">
        <f>VLOOKUP(ROUNDDOWN($F20,0),'Emission Factors'!$A$9:$E$69,4)-((VLOOKUP(ROUNDDOWN($F20,0),'Emission Factors'!$A$9:$E$69,4))-(VLOOKUP(ROUNDUP($F20,0),'Emission Factors'!$A$9:$E$69,4)))*$N20</f>
        <v>2.1600000000000001E-2</v>
      </c>
      <c r="U20" s="14">
        <f>VLOOKUP(ROUNDDOWN($M20,0),'Emission Factors'!$A$9:$E$69,4)-((VLOOKUP(ROUNDDOWN($M20,0),'Emission Factors'!$A$9:$E$69,4))-(VLOOKUP(ROUNDUP($M20,0),'Emission Factors'!$A$9:$E$69,4)))*$O20</f>
        <v>2.1600000000000001E-2</v>
      </c>
      <c r="V20" s="123">
        <f>VLOOKUP(ROUNDDOWN($F20,0),'Emission Factors'!$A$9:$E$69,5)-((VLOOKUP(ROUNDDOWN($F20,0),'Emission Factors'!$A$9:$E$69,5))-(VLOOKUP(ROUNDUP($F20,0),'Emission Factors'!$A$9:$E$69,5)))*$N20</f>
        <v>592</v>
      </c>
      <c r="W20" s="123">
        <f>VLOOKUP(ROUNDDOWN($M20,0),'Emission Factors'!$A$9:$E$69,5)-((VLOOKUP(ROUNDDOWN($M20,0),'Emission Factors'!$A$9:$E$69,5))-(VLOOKUP(ROUNDUP($M20,0),'Emission Factors'!$A$9:$E$69,5)))*$O20</f>
        <v>592</v>
      </c>
      <c r="X20" s="149"/>
      <c r="AA20" s="13"/>
      <c r="AD20" s="13"/>
      <c r="AE20" s="12"/>
      <c r="AF20" s="12"/>
      <c r="AH20" s="13"/>
    </row>
    <row r="21" spans="1:34" s="2" customFormat="1" ht="21" customHeight="1" x14ac:dyDescent="0.45">
      <c r="A21" s="87"/>
      <c r="B21" s="88"/>
      <c r="C21" s="88"/>
      <c r="D21" s="88"/>
      <c r="E21" s="89"/>
      <c r="F21" s="124">
        <v>5</v>
      </c>
      <c r="G21" s="124">
        <v>5</v>
      </c>
      <c r="H21" s="90">
        <f t="shared" si="0"/>
        <v>0</v>
      </c>
      <c r="I21" s="91">
        <f t="shared" si="1"/>
        <v>0</v>
      </c>
      <c r="J21" s="91">
        <f t="shared" si="2"/>
        <v>0</v>
      </c>
      <c r="K21" s="91">
        <f t="shared" si="3"/>
        <v>0</v>
      </c>
      <c r="L21" s="126">
        <f t="shared" si="4"/>
        <v>0</v>
      </c>
      <c r="M21" s="12">
        <f t="shared" si="5"/>
        <v>5</v>
      </c>
      <c r="N21" s="12">
        <f t="shared" si="6"/>
        <v>0</v>
      </c>
      <c r="O21" s="12">
        <f t="shared" si="7"/>
        <v>0</v>
      </c>
      <c r="P21" s="14">
        <f>VLOOKUP(ROUNDDOWN($F21,0),'Emission Factors'!$A$9:$E$69,2)-((VLOOKUP(ROUNDDOWN($F21,0),'Emission Factors'!$A$9:$E$69,2))-(VLOOKUP(ROUNDUP($F21,0),'Emission Factors'!$A$9:$E$69,2)))*$N21</f>
        <v>0.25</v>
      </c>
      <c r="Q21" s="14">
        <f>VLOOKUP(ROUNDDOWN($M21,0),'Emission Factors'!$A$9:$E$69,2)-((VLOOKUP(ROUNDDOWN($M21,0),'Emission Factors'!$A$9:$E$69,2))-(VLOOKUP(ROUNDUP($M21,0),'Emission Factors'!$A$9:$E$69,2)))*$O21</f>
        <v>0.25</v>
      </c>
      <c r="R21" s="14">
        <f>VLOOKUP(ROUNDDOWN($F21,0),'Emission Factors'!$A$9:$E$69,3)-((VLOOKUP(ROUNDDOWN($F21,0),'Emission Factors'!$A$9:$E$69,3))-(VLOOKUP(ROUNDUP($F21,0),'Emission Factors'!$A$9:$E$69,3)))*$N21</f>
        <v>0.83</v>
      </c>
      <c r="S21" s="14">
        <f>VLOOKUP(ROUNDDOWN($M21,0),'Emission Factors'!$A$9:$E$69,3)-((VLOOKUP(ROUNDDOWN($M21,0),'Emission Factors'!$A$9:$E$69,3))-(VLOOKUP(ROUNDUP($M21,0),'Emission Factors'!$A$9:$E$69,3)))*$O21</f>
        <v>0.83</v>
      </c>
      <c r="T21" s="14">
        <f>VLOOKUP(ROUNDDOWN($F21,0),'Emission Factors'!$A$9:$E$69,4)-((VLOOKUP(ROUNDDOWN($F21,0),'Emission Factors'!$A$9:$E$69,4))-(VLOOKUP(ROUNDUP($F21,0),'Emission Factors'!$A$9:$E$69,4)))*$N21</f>
        <v>2.1600000000000001E-2</v>
      </c>
      <c r="U21" s="14">
        <f>VLOOKUP(ROUNDDOWN($M21,0),'Emission Factors'!$A$9:$E$69,4)-((VLOOKUP(ROUNDDOWN($M21,0),'Emission Factors'!$A$9:$E$69,4))-(VLOOKUP(ROUNDUP($M21,0),'Emission Factors'!$A$9:$E$69,4)))*$O21</f>
        <v>2.1600000000000001E-2</v>
      </c>
      <c r="V21" s="123">
        <f>VLOOKUP(ROUNDDOWN($F21,0),'Emission Factors'!$A$9:$E$69,5)-((VLOOKUP(ROUNDDOWN($F21,0),'Emission Factors'!$A$9:$E$69,5))-(VLOOKUP(ROUNDUP($F21,0),'Emission Factors'!$A$9:$E$69,5)))*$N21</f>
        <v>592</v>
      </c>
      <c r="W21" s="123">
        <f>VLOOKUP(ROUNDDOWN($M21,0),'Emission Factors'!$A$9:$E$69,5)-((VLOOKUP(ROUNDDOWN($M21,0),'Emission Factors'!$A$9:$E$69,5))-(VLOOKUP(ROUNDUP($M21,0),'Emission Factors'!$A$9:$E$69,5)))*$O21</f>
        <v>592</v>
      </c>
      <c r="X21" s="149"/>
      <c r="AA21" s="13"/>
      <c r="AD21" s="13"/>
      <c r="AE21" s="12"/>
      <c r="AF21" s="12"/>
      <c r="AH21" s="13"/>
    </row>
    <row r="22" spans="1:34" s="2" customFormat="1" ht="21" customHeight="1" x14ac:dyDescent="0.45">
      <c r="A22" s="87"/>
      <c r="B22" s="88"/>
      <c r="C22" s="88"/>
      <c r="D22" s="88"/>
      <c r="E22" s="89"/>
      <c r="F22" s="124">
        <v>5</v>
      </c>
      <c r="G22" s="124">
        <v>5</v>
      </c>
      <c r="H22" s="90">
        <f t="shared" si="0"/>
        <v>0</v>
      </c>
      <c r="I22" s="91">
        <f t="shared" si="1"/>
        <v>0</v>
      </c>
      <c r="J22" s="91">
        <f t="shared" si="2"/>
        <v>0</v>
      </c>
      <c r="K22" s="91">
        <f t="shared" si="3"/>
        <v>0</v>
      </c>
      <c r="L22" s="126">
        <f t="shared" si="4"/>
        <v>0</v>
      </c>
      <c r="M22" s="12">
        <f t="shared" si="5"/>
        <v>5</v>
      </c>
      <c r="N22" s="12">
        <f t="shared" si="6"/>
        <v>0</v>
      </c>
      <c r="O22" s="12">
        <f t="shared" si="7"/>
        <v>0</v>
      </c>
      <c r="P22" s="14">
        <f>VLOOKUP(ROUNDDOWN($F22,0),'Emission Factors'!$A$9:$E$69,2)-((VLOOKUP(ROUNDDOWN($F22,0),'Emission Factors'!$A$9:$E$69,2))-(VLOOKUP(ROUNDUP($F22,0),'Emission Factors'!$A$9:$E$69,2)))*$N22</f>
        <v>0.25</v>
      </c>
      <c r="Q22" s="14">
        <f>VLOOKUP(ROUNDDOWN($M22,0),'Emission Factors'!$A$9:$E$69,2)-((VLOOKUP(ROUNDDOWN($M22,0),'Emission Factors'!$A$9:$E$69,2))-(VLOOKUP(ROUNDUP($M22,0),'Emission Factors'!$A$9:$E$69,2)))*$O22</f>
        <v>0.25</v>
      </c>
      <c r="R22" s="14">
        <f>VLOOKUP(ROUNDDOWN($F22,0),'Emission Factors'!$A$9:$E$69,3)-((VLOOKUP(ROUNDDOWN($F22,0),'Emission Factors'!$A$9:$E$69,3))-(VLOOKUP(ROUNDUP($F22,0),'Emission Factors'!$A$9:$E$69,3)))*$N22</f>
        <v>0.83</v>
      </c>
      <c r="S22" s="14">
        <f>VLOOKUP(ROUNDDOWN($M22,0),'Emission Factors'!$A$9:$E$69,3)-((VLOOKUP(ROUNDDOWN($M22,0),'Emission Factors'!$A$9:$E$69,3))-(VLOOKUP(ROUNDUP($M22,0),'Emission Factors'!$A$9:$E$69,3)))*$O22</f>
        <v>0.83</v>
      </c>
      <c r="T22" s="14">
        <f>VLOOKUP(ROUNDDOWN($F22,0),'Emission Factors'!$A$9:$E$69,4)-((VLOOKUP(ROUNDDOWN($F22,0),'Emission Factors'!$A$9:$E$69,4))-(VLOOKUP(ROUNDUP($F22,0),'Emission Factors'!$A$9:$E$69,4)))*$N22</f>
        <v>2.1600000000000001E-2</v>
      </c>
      <c r="U22" s="14">
        <f>VLOOKUP(ROUNDDOWN($M22,0),'Emission Factors'!$A$9:$E$69,4)-((VLOOKUP(ROUNDDOWN($M22,0),'Emission Factors'!$A$9:$E$69,4))-(VLOOKUP(ROUNDUP($M22,0),'Emission Factors'!$A$9:$E$69,4)))*$O22</f>
        <v>2.1600000000000001E-2</v>
      </c>
      <c r="V22" s="123">
        <f>VLOOKUP(ROUNDDOWN($F22,0),'Emission Factors'!$A$9:$E$69,5)-((VLOOKUP(ROUNDDOWN($F22,0),'Emission Factors'!$A$9:$E$69,5))-(VLOOKUP(ROUNDUP($F22,0),'Emission Factors'!$A$9:$E$69,5)))*$N22</f>
        <v>592</v>
      </c>
      <c r="W22" s="123">
        <f>VLOOKUP(ROUNDDOWN($M22,0),'Emission Factors'!$A$9:$E$69,5)-((VLOOKUP(ROUNDDOWN($M22,0),'Emission Factors'!$A$9:$E$69,5))-(VLOOKUP(ROUNDUP($M22,0),'Emission Factors'!$A$9:$E$69,5)))*$O22</f>
        <v>592</v>
      </c>
      <c r="X22" s="149"/>
      <c r="AA22" s="13"/>
      <c r="AD22" s="13"/>
      <c r="AE22" s="12"/>
      <c r="AF22" s="12"/>
      <c r="AH22" s="13"/>
    </row>
    <row r="23" spans="1:34" s="2" customFormat="1" ht="21" customHeight="1" x14ac:dyDescent="0.45">
      <c r="A23" s="87"/>
      <c r="B23" s="88"/>
      <c r="C23" s="88"/>
      <c r="D23" s="88"/>
      <c r="E23" s="89"/>
      <c r="F23" s="124">
        <v>5</v>
      </c>
      <c r="G23" s="124">
        <v>5</v>
      </c>
      <c r="H23" s="90">
        <f t="shared" si="0"/>
        <v>0</v>
      </c>
      <c r="I23" s="91">
        <f t="shared" si="1"/>
        <v>0</v>
      </c>
      <c r="J23" s="91">
        <f t="shared" si="2"/>
        <v>0</v>
      </c>
      <c r="K23" s="91">
        <f t="shared" si="3"/>
        <v>0</v>
      </c>
      <c r="L23" s="126">
        <f t="shared" si="4"/>
        <v>0</v>
      </c>
      <c r="M23" s="12">
        <f t="shared" si="5"/>
        <v>5</v>
      </c>
      <c r="N23" s="12">
        <f t="shared" si="6"/>
        <v>0</v>
      </c>
      <c r="O23" s="12">
        <f t="shared" si="7"/>
        <v>0</v>
      </c>
      <c r="P23" s="14">
        <f>VLOOKUP(ROUNDDOWN($F23,0),'Emission Factors'!$A$9:$E$69,2)-((VLOOKUP(ROUNDDOWN($F23,0),'Emission Factors'!$A$9:$E$69,2))-(VLOOKUP(ROUNDUP($F23,0),'Emission Factors'!$A$9:$E$69,2)))*$N23</f>
        <v>0.25</v>
      </c>
      <c r="Q23" s="14">
        <f>VLOOKUP(ROUNDDOWN($M23,0),'Emission Factors'!$A$9:$E$69,2)-((VLOOKUP(ROUNDDOWN($M23,0),'Emission Factors'!$A$9:$E$69,2))-(VLOOKUP(ROUNDUP($M23,0),'Emission Factors'!$A$9:$E$69,2)))*$O23</f>
        <v>0.25</v>
      </c>
      <c r="R23" s="14">
        <f>VLOOKUP(ROUNDDOWN($F23,0),'Emission Factors'!$A$9:$E$69,3)-((VLOOKUP(ROUNDDOWN($F23,0),'Emission Factors'!$A$9:$E$69,3))-(VLOOKUP(ROUNDUP($F23,0),'Emission Factors'!$A$9:$E$69,3)))*$N23</f>
        <v>0.83</v>
      </c>
      <c r="S23" s="14">
        <f>VLOOKUP(ROUNDDOWN($M23,0),'Emission Factors'!$A$9:$E$69,3)-((VLOOKUP(ROUNDDOWN($M23,0),'Emission Factors'!$A$9:$E$69,3))-(VLOOKUP(ROUNDUP($M23,0),'Emission Factors'!$A$9:$E$69,3)))*$O23</f>
        <v>0.83</v>
      </c>
      <c r="T23" s="14">
        <f>VLOOKUP(ROUNDDOWN($F23,0),'Emission Factors'!$A$9:$E$69,4)-((VLOOKUP(ROUNDDOWN($F23,0),'Emission Factors'!$A$9:$E$69,4))-(VLOOKUP(ROUNDUP($F23,0),'Emission Factors'!$A$9:$E$69,4)))*$N23</f>
        <v>2.1600000000000001E-2</v>
      </c>
      <c r="U23" s="14">
        <f>VLOOKUP(ROUNDDOWN($M23,0),'Emission Factors'!$A$9:$E$69,4)-((VLOOKUP(ROUNDDOWN($M23,0),'Emission Factors'!$A$9:$E$69,4))-(VLOOKUP(ROUNDUP($M23,0),'Emission Factors'!$A$9:$E$69,4)))*$O23</f>
        <v>2.1600000000000001E-2</v>
      </c>
      <c r="V23" s="123">
        <f>VLOOKUP(ROUNDDOWN($F23,0),'Emission Factors'!$A$9:$E$69,5)-((VLOOKUP(ROUNDDOWN($F23,0),'Emission Factors'!$A$9:$E$69,5))-(VLOOKUP(ROUNDUP($F23,0),'Emission Factors'!$A$9:$E$69,5)))*$N23</f>
        <v>592</v>
      </c>
      <c r="W23" s="123">
        <f>VLOOKUP(ROUNDDOWN($M23,0),'Emission Factors'!$A$9:$E$69,5)-((VLOOKUP(ROUNDDOWN($M23,0),'Emission Factors'!$A$9:$E$69,5))-(VLOOKUP(ROUNDUP($M23,0),'Emission Factors'!$A$9:$E$69,5)))*$O23</f>
        <v>592</v>
      </c>
      <c r="X23" s="149"/>
      <c r="AA23" s="13"/>
      <c r="AD23" s="13"/>
      <c r="AE23" s="12"/>
      <c r="AF23" s="12"/>
      <c r="AH23" s="13"/>
    </row>
    <row r="24" spans="1:34" s="2" customFormat="1" ht="21" customHeight="1" thickBot="1" x14ac:dyDescent="0.5">
      <c r="A24" s="37"/>
      <c r="B24" s="38"/>
      <c r="C24" s="38"/>
      <c r="D24" s="38"/>
      <c r="E24" s="151"/>
      <c r="F24" s="38"/>
      <c r="G24" s="39" t="s">
        <v>36</v>
      </c>
      <c r="H24" s="151"/>
      <c r="I24" s="92">
        <f>SUM(I18:I23)</f>
        <v>0</v>
      </c>
      <c r="J24" s="92">
        <f>SUM(J18:J23)</f>
        <v>0</v>
      </c>
      <c r="K24" s="92">
        <f>SUM(K18:K23)</f>
        <v>0</v>
      </c>
      <c r="L24" s="127">
        <f>SUM(L18:L23)</f>
        <v>0</v>
      </c>
      <c r="N24" s="149"/>
    </row>
    <row r="25" spans="1:34" s="2" customFormat="1" ht="21" customHeight="1" thickBot="1" x14ac:dyDescent="0.5">
      <c r="A25" s="40"/>
      <c r="B25" s="40"/>
      <c r="C25" s="40"/>
      <c r="D25" s="40"/>
      <c r="E25" s="25"/>
      <c r="F25" s="40"/>
      <c r="G25" s="41"/>
      <c r="H25" s="41"/>
      <c r="I25" s="42"/>
      <c r="J25" s="42"/>
      <c r="K25" s="25"/>
      <c r="L25" s="25"/>
      <c r="M25" s="149"/>
    </row>
    <row r="26" spans="1:34" s="2" customFormat="1" ht="15.4" x14ac:dyDescent="0.45">
      <c r="A26" s="101" t="s">
        <v>37</v>
      </c>
      <c r="B26" s="129"/>
      <c r="C26" s="129"/>
      <c r="D26" s="102" t="s">
        <v>38</v>
      </c>
      <c r="E26" s="102" t="s">
        <v>39</v>
      </c>
      <c r="F26" s="102"/>
      <c r="G26" s="40"/>
      <c r="H26" s="25"/>
      <c r="I26" s="25"/>
      <c r="J26" s="25"/>
      <c r="K26" s="25"/>
      <c r="L26" s="25"/>
      <c r="N26" s="152"/>
      <c r="O26" s="152"/>
    </row>
    <row r="27" spans="1:34" s="2" customFormat="1" ht="15.4" x14ac:dyDescent="0.45">
      <c r="A27" s="44" t="s">
        <v>79</v>
      </c>
      <c r="B27" s="46"/>
      <c r="C27" s="46"/>
      <c r="D27" s="48">
        <f>I24/2000</f>
        <v>0</v>
      </c>
      <c r="E27" s="48">
        <f>Annual_ROG_Emissions*Yrs_Effectiveness</f>
        <v>0</v>
      </c>
      <c r="F27" s="49" t="s">
        <v>45</v>
      </c>
      <c r="G27" s="50"/>
      <c r="H27" s="45"/>
      <c r="I27" s="45"/>
      <c r="J27" s="25"/>
      <c r="K27" s="45"/>
      <c r="L27" s="25"/>
      <c r="N27" s="25"/>
      <c r="O27" s="25"/>
      <c r="P27" s="109"/>
      <c r="Q27" s="109"/>
      <c r="R27" s="25"/>
    </row>
    <row r="28" spans="1:34" s="2" customFormat="1" ht="15.4" x14ac:dyDescent="0.45">
      <c r="A28" s="44" t="s">
        <v>80</v>
      </c>
      <c r="B28" s="46"/>
      <c r="C28" s="46"/>
      <c r="D28" s="48">
        <f>J24/2000</f>
        <v>0</v>
      </c>
      <c r="E28" s="48">
        <f>Annual_NOx_Emissions*Yrs_Effectiveness</f>
        <v>0</v>
      </c>
      <c r="F28" s="49" t="s">
        <v>45</v>
      </c>
      <c r="G28" s="50"/>
      <c r="H28" s="25"/>
      <c r="I28" s="25"/>
      <c r="J28" s="25"/>
      <c r="K28" s="40"/>
      <c r="L28" s="25"/>
      <c r="N28" s="25"/>
      <c r="O28" s="25"/>
      <c r="P28" s="109"/>
      <c r="Q28" s="109"/>
      <c r="R28" s="25"/>
    </row>
    <row r="29" spans="1:34" s="2" customFormat="1" ht="15.4" x14ac:dyDescent="0.45">
      <c r="A29" s="44" t="s">
        <v>81</v>
      </c>
      <c r="B29" s="46"/>
      <c r="C29" s="46"/>
      <c r="D29" s="48">
        <f>K24/2000</f>
        <v>0</v>
      </c>
      <c r="E29" s="48">
        <f>Annual_PM_Emissions*Yrs_Effectiveness</f>
        <v>0</v>
      </c>
      <c r="F29" s="49" t="s">
        <v>45</v>
      </c>
      <c r="G29" s="50"/>
      <c r="H29" s="25"/>
      <c r="I29" s="25"/>
      <c r="J29" s="40"/>
      <c r="K29" s="40"/>
      <c r="L29" s="25"/>
      <c r="N29" s="153"/>
      <c r="O29" s="149"/>
    </row>
    <row r="30" spans="1:34" s="2" customFormat="1" ht="15.4" x14ac:dyDescent="0.45">
      <c r="A30" s="44" t="s">
        <v>75</v>
      </c>
      <c r="B30" s="46"/>
      <c r="C30" s="46"/>
      <c r="D30" s="48">
        <f>Annual_PM_Emissions*20</f>
        <v>0</v>
      </c>
      <c r="E30" s="48">
        <f>Annual_Weighted_PM_Emissions*Yrs_Effectiveness</f>
        <v>0</v>
      </c>
      <c r="F30" s="49" t="s">
        <v>45</v>
      </c>
      <c r="G30" s="50"/>
      <c r="H30" s="25"/>
      <c r="I30" s="25"/>
      <c r="J30" s="40"/>
      <c r="K30" s="40"/>
      <c r="L30" s="25"/>
      <c r="N30" s="153"/>
      <c r="O30" s="149"/>
    </row>
    <row r="31" spans="1:34" s="2" customFormat="1" ht="15.4" x14ac:dyDescent="0.45">
      <c r="A31" s="44" t="s">
        <v>76</v>
      </c>
      <c r="B31" s="46"/>
      <c r="C31" s="46"/>
      <c r="D31" s="125">
        <f>L24/2000</f>
        <v>0</v>
      </c>
      <c r="E31" s="125">
        <f>Annual_CO2_Emissions*Yrs_Effectiveness</f>
        <v>0</v>
      </c>
      <c r="F31" s="49" t="s">
        <v>45</v>
      </c>
      <c r="G31" s="50"/>
      <c r="H31" s="25"/>
      <c r="I31" s="25"/>
      <c r="J31" s="40"/>
      <c r="K31" s="40"/>
      <c r="L31" s="25"/>
      <c r="N31" s="153"/>
      <c r="O31" s="149"/>
    </row>
    <row r="32" spans="1:34" s="2" customFormat="1" ht="15.4" x14ac:dyDescent="0.45">
      <c r="A32" s="44" t="s">
        <v>77</v>
      </c>
      <c r="B32" s="46"/>
      <c r="C32" s="46"/>
      <c r="D32" s="48">
        <f>Annual_ROG_Emissions+Annual_NOx_Emissions+Annual_PM_Emissions</f>
        <v>0</v>
      </c>
      <c r="E32" s="48">
        <f>Annual_Emission_Reductions_ROG_NOx_PM*Yrs_Effectiveness</f>
        <v>0</v>
      </c>
      <c r="F32" s="49" t="s">
        <v>45</v>
      </c>
      <c r="G32" s="50"/>
      <c r="H32" s="25"/>
      <c r="I32" s="25"/>
      <c r="J32" s="40"/>
      <c r="K32" s="40"/>
      <c r="L32" s="25"/>
      <c r="N32" s="153"/>
      <c r="O32" s="149"/>
    </row>
    <row r="33" spans="1:22" s="2" customFormat="1" ht="15.4" x14ac:dyDescent="0.45">
      <c r="A33" s="44" t="s">
        <v>78</v>
      </c>
      <c r="B33" s="46"/>
      <c r="C33" s="46"/>
      <c r="D33" s="47"/>
      <c r="E33" s="111" t="e">
        <f>Total_TFCA_Cost/(Lifetime_ROG_Emissions+Lifetime_NOx_Emissions+Lifetime_PM_Emissions)</f>
        <v>#DIV/0!</v>
      </c>
      <c r="F33" s="103" t="s">
        <v>40</v>
      </c>
      <c r="G33" s="50"/>
      <c r="H33" s="25"/>
      <c r="I33" s="25"/>
      <c r="J33" s="40"/>
      <c r="K33" s="40"/>
      <c r="L33" s="25"/>
      <c r="M33" s="149"/>
      <c r="N33" s="153"/>
      <c r="O33" s="149"/>
    </row>
    <row r="34" spans="1:22" s="2" customFormat="1" ht="33" customHeight="1" thickBot="1" x14ac:dyDescent="0.5">
      <c r="A34" s="174" t="s">
        <v>93</v>
      </c>
      <c r="B34" s="175"/>
      <c r="C34" s="175"/>
      <c r="D34" s="176"/>
      <c r="E34" s="154" t="e">
        <f>Total_TFCA_Cost/(Lifetime_ROG_Emissions+Lifetime_NOx_Emissions+E30)</f>
        <v>#DIV/0!</v>
      </c>
      <c r="F34" s="104" t="s">
        <v>40</v>
      </c>
      <c r="G34" s="50"/>
      <c r="H34" s="40"/>
      <c r="I34" s="40"/>
      <c r="J34" s="40"/>
      <c r="K34" s="40"/>
      <c r="L34" s="25"/>
      <c r="N34" s="153"/>
      <c r="O34" s="149"/>
    </row>
    <row r="35" spans="1:22" s="2" customFormat="1" ht="15.4" x14ac:dyDescent="0.45">
      <c r="A35"/>
      <c r="B35"/>
      <c r="C35"/>
      <c r="D35"/>
      <c r="E35"/>
      <c r="F35"/>
      <c r="G35" s="25"/>
      <c r="H35" s="25"/>
      <c r="I35" s="43"/>
      <c r="J35" s="43"/>
      <c r="K35" s="43"/>
      <c r="L35" s="25"/>
      <c r="N35" s="9"/>
      <c r="O35"/>
    </row>
    <row r="36" spans="1:22" s="2" customFormat="1" ht="15" customHeight="1" x14ac:dyDescent="0.45">
      <c r="A36" s="130"/>
      <c r="B36" s="131"/>
      <c r="C36" s="131"/>
      <c r="D36"/>
      <c r="E36"/>
      <c r="F36"/>
      <c r="G36" s="25"/>
      <c r="H36" s="25"/>
      <c r="I36" s="43"/>
      <c r="J36" s="43"/>
      <c r="K36" s="43"/>
      <c r="L36" s="25"/>
      <c r="N36" s="9"/>
      <c r="O36"/>
    </row>
    <row r="37" spans="1:22" x14ac:dyDescent="0.35">
      <c r="F37" s="8"/>
      <c r="N37" s="9"/>
      <c r="V37" s="9"/>
    </row>
    <row r="38" spans="1:22" ht="12.75" x14ac:dyDescent="0.35">
      <c r="B38" s="55"/>
      <c r="C38" s="55"/>
      <c r="D38" s="56"/>
      <c r="E38" s="57"/>
      <c r="F38" s="9"/>
      <c r="I38" s="8"/>
      <c r="J38" s="8"/>
      <c r="K38" s="8"/>
      <c r="N38" s="9"/>
      <c r="V38" s="9"/>
    </row>
    <row r="39" spans="1:22" ht="13.15" x14ac:dyDescent="0.35">
      <c r="A39" s="58"/>
      <c r="B39" s="59"/>
      <c r="C39" s="59"/>
      <c r="E39" s="51"/>
      <c r="F39" s="9"/>
      <c r="G39" s="8"/>
      <c r="H39" s="7"/>
      <c r="J39" s="9"/>
      <c r="N39" s="9"/>
      <c r="V39" s="9"/>
    </row>
    <row r="40" spans="1:22" ht="13.15" x14ac:dyDescent="0.35">
      <c r="B40" s="59"/>
      <c r="C40" s="59"/>
      <c r="E40" s="51"/>
      <c r="F40" s="9"/>
      <c r="N40" s="9"/>
      <c r="V40" s="9"/>
    </row>
    <row r="41" spans="1:22" ht="13.15" x14ac:dyDescent="0.35">
      <c r="B41" s="59"/>
      <c r="C41" s="59"/>
      <c r="E41" s="51"/>
      <c r="F41" s="9"/>
      <c r="N41" s="9"/>
      <c r="V41" s="9"/>
    </row>
    <row r="42" spans="1:22" ht="13.15" x14ac:dyDescent="0.35">
      <c r="B42" s="59"/>
      <c r="C42" s="59"/>
      <c r="E42" s="51"/>
      <c r="F42" s="9"/>
      <c r="N42" s="9"/>
      <c r="V42" s="9"/>
    </row>
    <row r="43" spans="1:22" ht="12.75" x14ac:dyDescent="0.35">
      <c r="B43" s="55"/>
      <c r="C43" s="55"/>
      <c r="D43" s="56"/>
      <c r="E43" s="57"/>
      <c r="F43" s="9"/>
      <c r="N43" s="9"/>
      <c r="V43" s="9"/>
    </row>
    <row r="44" spans="1:22" ht="13.15" x14ac:dyDescent="0.35">
      <c r="B44" s="59"/>
      <c r="C44" s="59"/>
      <c r="E44" s="51"/>
      <c r="F44" s="9"/>
      <c r="N44" s="9"/>
      <c r="V44" s="9"/>
    </row>
    <row r="45" spans="1:22" ht="13.15" x14ac:dyDescent="0.35">
      <c r="B45" s="59"/>
      <c r="C45" s="59"/>
      <c r="E45" s="51"/>
      <c r="F45" s="9"/>
      <c r="N45" s="9"/>
      <c r="V45" s="9"/>
    </row>
    <row r="46" spans="1:22" ht="13.15" x14ac:dyDescent="0.35">
      <c r="B46" s="59"/>
      <c r="C46" s="59"/>
      <c r="E46" s="51"/>
      <c r="F46" s="9"/>
      <c r="I46" s="7"/>
      <c r="K46" s="16"/>
      <c r="L46" s="7"/>
      <c r="N46" s="9"/>
      <c r="V46" s="9"/>
    </row>
    <row r="47" spans="1:22" ht="13.15" x14ac:dyDescent="0.35">
      <c r="B47" s="59"/>
      <c r="C47" s="59"/>
      <c r="E47" s="51"/>
      <c r="F47" s="9"/>
      <c r="K47" s="16"/>
      <c r="L47" s="7"/>
      <c r="N47" s="9"/>
      <c r="V47" s="9"/>
    </row>
    <row r="48" spans="1:22" ht="12.75" x14ac:dyDescent="0.35">
      <c r="B48" s="55"/>
      <c r="C48" s="55"/>
      <c r="D48" s="56"/>
      <c r="E48" s="57"/>
      <c r="F48" s="9"/>
      <c r="K48" s="16"/>
      <c r="L48" s="7"/>
      <c r="N48" s="9"/>
      <c r="V48" s="9"/>
    </row>
    <row r="49" spans="2:22" ht="13.15" x14ac:dyDescent="0.35">
      <c r="B49" s="59"/>
      <c r="C49" s="59"/>
      <c r="E49" s="51"/>
      <c r="F49" s="9"/>
      <c r="L49" s="7"/>
      <c r="N49" s="9"/>
      <c r="V49" s="9"/>
    </row>
    <row r="50" spans="2:22" ht="13.15" x14ac:dyDescent="0.35">
      <c r="B50" s="59"/>
      <c r="C50" s="59"/>
      <c r="E50" s="51"/>
      <c r="F50" s="9"/>
      <c r="H50" s="7"/>
      <c r="I50" s="15"/>
      <c r="N50" s="9"/>
      <c r="V50" s="9"/>
    </row>
    <row r="51" spans="2:22" ht="15" x14ac:dyDescent="0.4">
      <c r="B51" s="59"/>
      <c r="C51" s="59"/>
      <c r="E51" s="51"/>
      <c r="F51" s="9"/>
      <c r="G51" s="24"/>
      <c r="I51" s="15"/>
      <c r="N51" s="9"/>
      <c r="V51" s="9"/>
    </row>
    <row r="52" spans="2:22" ht="13.15" x14ac:dyDescent="0.35">
      <c r="B52" s="59"/>
      <c r="C52" s="59"/>
      <c r="E52" s="51"/>
      <c r="F52" s="9"/>
      <c r="I52" s="15"/>
      <c r="N52" s="9"/>
      <c r="V52" s="9"/>
    </row>
    <row r="53" spans="2:22" ht="12.75" x14ac:dyDescent="0.35">
      <c r="B53" s="55"/>
      <c r="C53" s="55"/>
      <c r="D53" s="56"/>
      <c r="E53" s="57"/>
      <c r="F53" s="9"/>
      <c r="I53" s="15"/>
      <c r="N53" s="9"/>
      <c r="V53" s="9"/>
    </row>
    <row r="54" spans="2:22" ht="13.15" x14ac:dyDescent="0.35">
      <c r="B54" s="59"/>
      <c r="C54" s="59"/>
      <c r="E54" s="51"/>
      <c r="F54" s="9"/>
      <c r="I54" s="15"/>
      <c r="N54" s="9"/>
      <c r="V54" s="9"/>
    </row>
    <row r="55" spans="2:22" ht="13.15" x14ac:dyDescent="0.35">
      <c r="B55" s="59"/>
      <c r="C55" s="59"/>
      <c r="E55" s="51"/>
      <c r="F55" s="9"/>
      <c r="I55" s="15"/>
      <c r="N55" s="9"/>
      <c r="V55" s="9"/>
    </row>
    <row r="56" spans="2:22" ht="13.15" x14ac:dyDescent="0.35">
      <c r="B56" s="59"/>
      <c r="C56" s="59"/>
      <c r="E56" s="51"/>
      <c r="F56" s="9"/>
      <c r="I56" s="15"/>
      <c r="N56" s="9"/>
      <c r="V56" s="9"/>
    </row>
    <row r="57" spans="2:22" ht="13.15" x14ac:dyDescent="0.35">
      <c r="B57" s="59"/>
      <c r="C57" s="59"/>
      <c r="E57" s="51"/>
      <c r="F57" s="9"/>
      <c r="I57" s="15"/>
      <c r="N57" s="9"/>
      <c r="V57" s="9"/>
    </row>
    <row r="58" spans="2:22" ht="12.75" x14ac:dyDescent="0.35">
      <c r="B58" s="55"/>
      <c r="C58" s="55"/>
      <c r="D58" s="56"/>
      <c r="E58" s="57"/>
      <c r="F58" s="9"/>
      <c r="I58" s="15"/>
      <c r="N58" s="9"/>
      <c r="V58" s="9"/>
    </row>
    <row r="59" spans="2:22" ht="13.15" x14ac:dyDescent="0.35">
      <c r="B59" s="59"/>
      <c r="C59" s="59"/>
      <c r="E59" s="51"/>
      <c r="F59" s="9"/>
      <c r="I59" s="15"/>
      <c r="N59" s="9"/>
      <c r="V59" s="9"/>
    </row>
    <row r="60" spans="2:22" ht="13.15" x14ac:dyDescent="0.35">
      <c r="B60" s="59"/>
      <c r="C60" s="59"/>
      <c r="E60" s="51"/>
      <c r="F60" s="9"/>
      <c r="I60" s="15"/>
      <c r="N60" s="9"/>
      <c r="V60" s="9"/>
    </row>
    <row r="61" spans="2:22" ht="13.15" x14ac:dyDescent="0.35">
      <c r="B61" s="59"/>
      <c r="C61" s="59"/>
      <c r="E61" s="51"/>
      <c r="F61" s="9"/>
      <c r="I61" s="15"/>
      <c r="N61" s="9"/>
      <c r="V61" s="9"/>
    </row>
    <row r="62" spans="2:22" ht="13.15" x14ac:dyDescent="0.35">
      <c r="B62" s="59"/>
      <c r="C62" s="59"/>
      <c r="E62" s="51"/>
      <c r="F62" s="9"/>
      <c r="I62" s="15"/>
      <c r="N62" s="9"/>
      <c r="V62" s="9"/>
    </row>
    <row r="63" spans="2:22" ht="12.75" x14ac:dyDescent="0.35">
      <c r="B63" s="55"/>
      <c r="C63" s="55"/>
      <c r="D63" s="56"/>
      <c r="E63" s="57"/>
      <c r="F63" s="9"/>
      <c r="I63" s="15"/>
      <c r="N63" s="9"/>
    </row>
    <row r="64" spans="2:22" ht="13.15" x14ac:dyDescent="0.35">
      <c r="B64" s="59"/>
      <c r="C64" s="59"/>
      <c r="E64" s="51"/>
      <c r="F64" s="9"/>
      <c r="I64" s="15"/>
      <c r="N64" s="9"/>
    </row>
    <row r="65" spans="2:14" ht="13.15" x14ac:dyDescent="0.35">
      <c r="B65" s="59"/>
      <c r="C65" s="59"/>
      <c r="E65" s="51"/>
      <c r="F65" s="9"/>
      <c r="I65" s="15"/>
      <c r="J65" s="15"/>
      <c r="N65" s="9"/>
    </row>
    <row r="66" spans="2:14" ht="13.15" x14ac:dyDescent="0.35">
      <c r="B66" s="59"/>
      <c r="C66" s="59"/>
      <c r="E66" s="51"/>
      <c r="F66" s="9"/>
      <c r="I66" s="15"/>
      <c r="J66" s="15"/>
      <c r="N66" s="9"/>
    </row>
    <row r="67" spans="2:14" ht="13.15" x14ac:dyDescent="0.35">
      <c r="B67" s="59"/>
      <c r="C67" s="59"/>
      <c r="E67" s="51"/>
      <c r="F67" s="9"/>
      <c r="I67" s="15"/>
      <c r="J67" s="15"/>
      <c r="N67" s="9"/>
    </row>
    <row r="68" spans="2:14" x14ac:dyDescent="0.35">
      <c r="I68" s="15"/>
      <c r="J68" s="15"/>
      <c r="N68" s="9"/>
    </row>
    <row r="69" spans="2:14" x14ac:dyDescent="0.35">
      <c r="I69" s="15"/>
      <c r="J69" s="15"/>
      <c r="N69" s="9"/>
    </row>
    <row r="70" spans="2:14" x14ac:dyDescent="0.35">
      <c r="N70" s="9"/>
    </row>
    <row r="71" spans="2:14" x14ac:dyDescent="0.35">
      <c r="N71" s="9"/>
    </row>
    <row r="72" spans="2:14" x14ac:dyDescent="0.35">
      <c r="N72" s="9"/>
    </row>
    <row r="73" spans="2:14" x14ac:dyDescent="0.35">
      <c r="N73" s="9"/>
    </row>
    <row r="74" spans="2:14" x14ac:dyDescent="0.35">
      <c r="N74" s="9"/>
    </row>
    <row r="75" spans="2:14" x14ac:dyDescent="0.35">
      <c r="N75" s="9"/>
    </row>
    <row r="76" spans="2:14" x14ac:dyDescent="0.35">
      <c r="N76" s="9"/>
    </row>
    <row r="77" spans="2:14" x14ac:dyDescent="0.35">
      <c r="N77" s="9"/>
    </row>
    <row r="78" spans="2:14" x14ac:dyDescent="0.35">
      <c r="N78" s="9"/>
    </row>
    <row r="79" spans="2:14" x14ac:dyDescent="0.35">
      <c r="N79" s="9"/>
    </row>
    <row r="80" spans="2:14" x14ac:dyDescent="0.35">
      <c r="N80" s="9"/>
    </row>
    <row r="81" spans="14:14" x14ac:dyDescent="0.35">
      <c r="N81" s="9"/>
    </row>
    <row r="82" spans="14:14" x14ac:dyDescent="0.35">
      <c r="N82" s="9"/>
    </row>
    <row r="83" spans="14:14" x14ac:dyDescent="0.35">
      <c r="N83" s="9"/>
    </row>
    <row r="84" spans="14:14" x14ac:dyDescent="0.35">
      <c r="N84" s="9"/>
    </row>
    <row r="85" spans="14:14" x14ac:dyDescent="0.35">
      <c r="N85" s="9"/>
    </row>
    <row r="86" spans="14:14" x14ac:dyDescent="0.35">
      <c r="N86" s="9"/>
    </row>
    <row r="87" spans="14:14" x14ac:dyDescent="0.35">
      <c r="N87" s="9"/>
    </row>
    <row r="88" spans="14:14" x14ac:dyDescent="0.35">
      <c r="N88" s="9"/>
    </row>
    <row r="89" spans="14:14" x14ac:dyDescent="0.35">
      <c r="N89" s="9"/>
    </row>
    <row r="90" spans="14:14" x14ac:dyDescent="0.35">
      <c r="N90" s="9"/>
    </row>
    <row r="91" spans="14:14" x14ac:dyDescent="0.35">
      <c r="N91" s="9"/>
    </row>
    <row r="92" spans="14:14" x14ac:dyDescent="0.35">
      <c r="N92" s="9"/>
    </row>
    <row r="93" spans="14:14" x14ac:dyDescent="0.35">
      <c r="N93" s="9"/>
    </row>
    <row r="94" spans="14:14" x14ac:dyDescent="0.35">
      <c r="N94" s="9"/>
    </row>
    <row r="95" spans="14:14" x14ac:dyDescent="0.35">
      <c r="N95" s="9"/>
    </row>
    <row r="96" spans="14:14" x14ac:dyDescent="0.35">
      <c r="N96" s="9"/>
    </row>
    <row r="97" spans="14:14" x14ac:dyDescent="0.35">
      <c r="N97" s="9"/>
    </row>
    <row r="98" spans="14:14" x14ac:dyDescent="0.35">
      <c r="N98" s="9"/>
    </row>
    <row r="99" spans="14:14" x14ac:dyDescent="0.35">
      <c r="N99" s="9"/>
    </row>
    <row r="100" spans="14:14" x14ac:dyDescent="0.35">
      <c r="N100" s="9"/>
    </row>
    <row r="101" spans="14:14" x14ac:dyDescent="0.35">
      <c r="N101" s="9"/>
    </row>
    <row r="102" spans="14:14" x14ac:dyDescent="0.35">
      <c r="N102" s="9"/>
    </row>
    <row r="103" spans="14:14" x14ac:dyDescent="0.35">
      <c r="N103" s="9"/>
    </row>
    <row r="104" spans="14:14" x14ac:dyDescent="0.35">
      <c r="N104" s="9"/>
    </row>
    <row r="105" spans="14:14" x14ac:dyDescent="0.35">
      <c r="N105" s="9"/>
    </row>
    <row r="106" spans="14:14" x14ac:dyDescent="0.35">
      <c r="N106" s="9"/>
    </row>
    <row r="107" spans="14:14" x14ac:dyDescent="0.35">
      <c r="N107" s="9"/>
    </row>
    <row r="108" spans="14:14" x14ac:dyDescent="0.35">
      <c r="N108" s="9"/>
    </row>
    <row r="109" spans="14:14" x14ac:dyDescent="0.35">
      <c r="N109" s="9"/>
    </row>
    <row r="110" spans="14:14" x14ac:dyDescent="0.35">
      <c r="N110" s="9"/>
    </row>
    <row r="111" spans="14:14" x14ac:dyDescent="0.35">
      <c r="N111" s="9"/>
    </row>
    <row r="112" spans="14:14" x14ac:dyDescent="0.35">
      <c r="N112" s="9"/>
    </row>
    <row r="113" spans="14:14" x14ac:dyDescent="0.35">
      <c r="N113" s="9"/>
    </row>
    <row r="114" spans="14:14" x14ac:dyDescent="0.35">
      <c r="N114" s="9"/>
    </row>
    <row r="115" spans="14:14" x14ac:dyDescent="0.35">
      <c r="N115" s="9"/>
    </row>
    <row r="116" spans="14:14" x14ac:dyDescent="0.35">
      <c r="N116" s="9"/>
    </row>
    <row r="117" spans="14:14" x14ac:dyDescent="0.35">
      <c r="N117" s="9"/>
    </row>
    <row r="118" spans="14:14" x14ac:dyDescent="0.35">
      <c r="N118" s="9"/>
    </row>
    <row r="119" spans="14:14" x14ac:dyDescent="0.35">
      <c r="N119" s="9"/>
    </row>
    <row r="120" spans="14:14" x14ac:dyDescent="0.35">
      <c r="N120" s="9"/>
    </row>
    <row r="121" spans="14:14" x14ac:dyDescent="0.35">
      <c r="N121" s="9"/>
    </row>
    <row r="122" spans="14:14" x14ac:dyDescent="0.35">
      <c r="N122" s="9"/>
    </row>
    <row r="123" spans="14:14" x14ac:dyDescent="0.35">
      <c r="N123" s="9"/>
    </row>
    <row r="124" spans="14:14" x14ac:dyDescent="0.35">
      <c r="N124" s="9"/>
    </row>
    <row r="125" spans="14:14" x14ac:dyDescent="0.35">
      <c r="N125" s="9"/>
    </row>
    <row r="126" spans="14:14" x14ac:dyDescent="0.35">
      <c r="N126" s="9"/>
    </row>
    <row r="127" spans="14:14" x14ac:dyDescent="0.35">
      <c r="N127" s="9"/>
    </row>
    <row r="128" spans="14:14" x14ac:dyDescent="0.35">
      <c r="N128" s="9"/>
    </row>
    <row r="129" spans="14:14" x14ac:dyDescent="0.35">
      <c r="N129" s="9"/>
    </row>
    <row r="130" spans="14:14" x14ac:dyDescent="0.35">
      <c r="N130" s="9"/>
    </row>
    <row r="131" spans="14:14" x14ac:dyDescent="0.35">
      <c r="N131" s="9"/>
    </row>
    <row r="132" spans="14:14" x14ac:dyDescent="0.35">
      <c r="N132" s="9"/>
    </row>
    <row r="133" spans="14:14" x14ac:dyDescent="0.35">
      <c r="N133" s="9"/>
    </row>
    <row r="134" spans="14:14" x14ac:dyDescent="0.35">
      <c r="N134" s="9"/>
    </row>
    <row r="135" spans="14:14" x14ac:dyDescent="0.35">
      <c r="N135" s="9"/>
    </row>
    <row r="136" spans="14:14" x14ac:dyDescent="0.35">
      <c r="N136" s="9"/>
    </row>
    <row r="137" spans="14:14" x14ac:dyDescent="0.35">
      <c r="N137" s="9"/>
    </row>
    <row r="138" spans="14:14" x14ac:dyDescent="0.35">
      <c r="N138" s="9"/>
    </row>
    <row r="139" spans="14:14" x14ac:dyDescent="0.35">
      <c r="N139" s="9"/>
    </row>
    <row r="140" spans="14:14" x14ac:dyDescent="0.35">
      <c r="N140" s="9"/>
    </row>
    <row r="141" spans="14:14" x14ac:dyDescent="0.35">
      <c r="N141" s="9"/>
    </row>
    <row r="142" spans="14:14" x14ac:dyDescent="0.35">
      <c r="N142" s="9"/>
    </row>
    <row r="143" spans="14:14" x14ac:dyDescent="0.35">
      <c r="N143" s="9"/>
    </row>
    <row r="144" spans="14:14" x14ac:dyDescent="0.35">
      <c r="N144" s="9"/>
    </row>
    <row r="145" spans="14:14" x14ac:dyDescent="0.35">
      <c r="N145" s="9"/>
    </row>
    <row r="146" spans="14:14" x14ac:dyDescent="0.35">
      <c r="N146" s="9"/>
    </row>
    <row r="147" spans="14:14" x14ac:dyDescent="0.35">
      <c r="N147" s="9"/>
    </row>
    <row r="148" spans="14:14" x14ac:dyDescent="0.35">
      <c r="N148" s="9"/>
    </row>
    <row r="149" spans="14:14" x14ac:dyDescent="0.35">
      <c r="N149" s="9"/>
    </row>
    <row r="150" spans="14:14" x14ac:dyDescent="0.35">
      <c r="N150" s="9"/>
    </row>
    <row r="151" spans="14:14" x14ac:dyDescent="0.35">
      <c r="N151" s="9"/>
    </row>
    <row r="152" spans="14:14" x14ac:dyDescent="0.35">
      <c r="N152" s="9"/>
    </row>
    <row r="153" spans="14:14" x14ac:dyDescent="0.35">
      <c r="N153" s="9"/>
    </row>
    <row r="154" spans="14:14" x14ac:dyDescent="0.35">
      <c r="N154" s="9"/>
    </row>
    <row r="155" spans="14:14" x14ac:dyDescent="0.35">
      <c r="N155" s="9"/>
    </row>
    <row r="156" spans="14:14" x14ac:dyDescent="0.35">
      <c r="N156" s="9"/>
    </row>
    <row r="157" spans="14:14" x14ac:dyDescent="0.35">
      <c r="N157" s="9"/>
    </row>
    <row r="158" spans="14:14" x14ac:dyDescent="0.35">
      <c r="N158" s="9"/>
    </row>
    <row r="159" spans="14:14" x14ac:dyDescent="0.35">
      <c r="N159" s="9"/>
    </row>
    <row r="160" spans="14:14" x14ac:dyDescent="0.35">
      <c r="N160" s="9"/>
    </row>
    <row r="161" spans="14:14" x14ac:dyDescent="0.35">
      <c r="N161" s="9"/>
    </row>
    <row r="162" spans="14:14" x14ac:dyDescent="0.35">
      <c r="N162" s="9"/>
    </row>
    <row r="163" spans="14:14" x14ac:dyDescent="0.35">
      <c r="N163" s="9"/>
    </row>
    <row r="164" spans="14:14" x14ac:dyDescent="0.35">
      <c r="N164" s="9"/>
    </row>
    <row r="165" spans="14:14" x14ac:dyDescent="0.35">
      <c r="N165" s="9"/>
    </row>
    <row r="166" spans="14:14" x14ac:dyDescent="0.35">
      <c r="N166" s="9"/>
    </row>
    <row r="167" spans="14:14" x14ac:dyDescent="0.35">
      <c r="N167" s="9"/>
    </row>
    <row r="168" spans="14:14" x14ac:dyDescent="0.35">
      <c r="N168" s="9"/>
    </row>
    <row r="169" spans="14:14" x14ac:dyDescent="0.35">
      <c r="N169" s="9"/>
    </row>
    <row r="170" spans="14:14" x14ac:dyDescent="0.35">
      <c r="N170" s="9"/>
    </row>
    <row r="171" spans="14:14" x14ac:dyDescent="0.35">
      <c r="N171" s="9"/>
    </row>
    <row r="172" spans="14:14" x14ac:dyDescent="0.35">
      <c r="N172" s="9"/>
    </row>
    <row r="173" spans="14:14" x14ac:dyDescent="0.35">
      <c r="N173" s="9"/>
    </row>
    <row r="174" spans="14:14" x14ac:dyDescent="0.35">
      <c r="N174" s="9"/>
    </row>
    <row r="175" spans="14:14" x14ac:dyDescent="0.35">
      <c r="N175" s="9"/>
    </row>
    <row r="176" spans="14:14" x14ac:dyDescent="0.35">
      <c r="N176" s="9"/>
    </row>
    <row r="177" spans="14:14" x14ac:dyDescent="0.35">
      <c r="N177" s="9"/>
    </row>
    <row r="178" spans="14:14" x14ac:dyDescent="0.35">
      <c r="N178" s="9"/>
    </row>
    <row r="179" spans="14:14" x14ac:dyDescent="0.35">
      <c r="N179" s="9"/>
    </row>
    <row r="180" spans="14:14" x14ac:dyDescent="0.35">
      <c r="N180" s="9"/>
    </row>
    <row r="181" spans="14:14" x14ac:dyDescent="0.35">
      <c r="N181" s="9"/>
    </row>
    <row r="182" spans="14:14" x14ac:dyDescent="0.35">
      <c r="N182" s="9"/>
    </row>
    <row r="183" spans="14:14" x14ac:dyDescent="0.35">
      <c r="N183" s="9"/>
    </row>
    <row r="184" spans="14:14" x14ac:dyDescent="0.35">
      <c r="N184" s="9"/>
    </row>
    <row r="185" spans="14:14" x14ac:dyDescent="0.35">
      <c r="N185" s="9"/>
    </row>
    <row r="186" spans="14:14" x14ac:dyDescent="0.35">
      <c r="N186" s="9"/>
    </row>
    <row r="187" spans="14:14" x14ac:dyDescent="0.35">
      <c r="N187" s="9"/>
    </row>
    <row r="188" spans="14:14" x14ac:dyDescent="0.35">
      <c r="N188" s="9"/>
    </row>
    <row r="189" spans="14:14" x14ac:dyDescent="0.35">
      <c r="N189" s="9"/>
    </row>
    <row r="190" spans="14:14" x14ac:dyDescent="0.35">
      <c r="N190" s="9"/>
    </row>
    <row r="191" spans="14:14" x14ac:dyDescent="0.35">
      <c r="N191" s="9"/>
    </row>
    <row r="192" spans="14:14" x14ac:dyDescent="0.35">
      <c r="N192" s="9"/>
    </row>
    <row r="193" spans="14:14" x14ac:dyDescent="0.35">
      <c r="N193" s="9"/>
    </row>
    <row r="194" spans="14:14" x14ac:dyDescent="0.35">
      <c r="N194" s="9"/>
    </row>
    <row r="195" spans="14:14" x14ac:dyDescent="0.35">
      <c r="N195" s="9"/>
    </row>
    <row r="196" spans="14:14" x14ac:dyDescent="0.35">
      <c r="N196" s="9"/>
    </row>
    <row r="197" spans="14:14" x14ac:dyDescent="0.35">
      <c r="N197" s="9"/>
    </row>
    <row r="198" spans="14:14" x14ac:dyDescent="0.35">
      <c r="N198" s="9"/>
    </row>
    <row r="199" spans="14:14" x14ac:dyDescent="0.35">
      <c r="N199" s="9"/>
    </row>
    <row r="200" spans="14:14" x14ac:dyDescent="0.35">
      <c r="N200" s="9"/>
    </row>
    <row r="201" spans="14:14" x14ac:dyDescent="0.35">
      <c r="N201" s="9"/>
    </row>
    <row r="202" spans="14:14" x14ac:dyDescent="0.35">
      <c r="N202" s="9"/>
    </row>
    <row r="203" spans="14:14" x14ac:dyDescent="0.35">
      <c r="N203" s="9"/>
    </row>
    <row r="204" spans="14:14" x14ac:dyDescent="0.35">
      <c r="N204" s="9"/>
    </row>
    <row r="205" spans="14:14" x14ac:dyDescent="0.35">
      <c r="N205" s="9"/>
    </row>
    <row r="206" spans="14:14" x14ac:dyDescent="0.35">
      <c r="N206" s="9"/>
    </row>
    <row r="207" spans="14:14" x14ac:dyDescent="0.35">
      <c r="N207" s="9"/>
    </row>
    <row r="208" spans="14:14" x14ac:dyDescent="0.35">
      <c r="N208" s="9"/>
    </row>
    <row r="209" spans="14:14" x14ac:dyDescent="0.35">
      <c r="N209" s="9"/>
    </row>
    <row r="210" spans="14:14" x14ac:dyDescent="0.35">
      <c r="N210" s="9"/>
    </row>
    <row r="211" spans="14:14" x14ac:dyDescent="0.35">
      <c r="N211" s="9"/>
    </row>
    <row r="212" spans="14:14" x14ac:dyDescent="0.35">
      <c r="N212" s="9"/>
    </row>
    <row r="213" spans="14:14" x14ac:dyDescent="0.35">
      <c r="N213" s="9"/>
    </row>
    <row r="214" spans="14:14" x14ac:dyDescent="0.35">
      <c r="N214" s="9"/>
    </row>
    <row r="215" spans="14:14" x14ac:dyDescent="0.35">
      <c r="N215" s="9"/>
    </row>
    <row r="216" spans="14:14" x14ac:dyDescent="0.35">
      <c r="N216" s="9"/>
    </row>
    <row r="217" spans="14:14" x14ac:dyDescent="0.35">
      <c r="N217" s="9"/>
    </row>
    <row r="218" spans="14:14" x14ac:dyDescent="0.35">
      <c r="N218" s="9"/>
    </row>
    <row r="219" spans="14:14" x14ac:dyDescent="0.35">
      <c r="N219" s="9"/>
    </row>
    <row r="220" spans="14:14" x14ac:dyDescent="0.35">
      <c r="N220" s="9"/>
    </row>
    <row r="221" spans="14:14" x14ac:dyDescent="0.35">
      <c r="N221" s="9"/>
    </row>
    <row r="222" spans="14:14" x14ac:dyDescent="0.35">
      <c r="N222" s="9"/>
    </row>
    <row r="223" spans="14:14" x14ac:dyDescent="0.35">
      <c r="N223" s="9"/>
    </row>
    <row r="224" spans="14:14" x14ac:dyDescent="0.35">
      <c r="N224" s="9"/>
    </row>
    <row r="225" spans="14:14" x14ac:dyDescent="0.35">
      <c r="N225" s="9"/>
    </row>
    <row r="226" spans="14:14" x14ac:dyDescent="0.35">
      <c r="N226" s="9"/>
    </row>
    <row r="227" spans="14:14" x14ac:dyDescent="0.35">
      <c r="N227" s="9"/>
    </row>
    <row r="228" spans="14:14" x14ac:dyDescent="0.35">
      <c r="N228" s="9"/>
    </row>
    <row r="229" spans="14:14" x14ac:dyDescent="0.35">
      <c r="N229" s="9"/>
    </row>
    <row r="230" spans="14:14" x14ac:dyDescent="0.35">
      <c r="N230" s="9"/>
    </row>
    <row r="231" spans="14:14" x14ac:dyDescent="0.35">
      <c r="N231" s="9"/>
    </row>
    <row r="232" spans="14:14" x14ac:dyDescent="0.35">
      <c r="N232" s="9"/>
    </row>
    <row r="233" spans="14:14" x14ac:dyDescent="0.35">
      <c r="N233" s="9"/>
    </row>
    <row r="234" spans="14:14" x14ac:dyDescent="0.35">
      <c r="N234" s="9"/>
    </row>
    <row r="235" spans="14:14" x14ac:dyDescent="0.35">
      <c r="N235" s="9"/>
    </row>
    <row r="236" spans="14:14" x14ac:dyDescent="0.35">
      <c r="N236" s="9"/>
    </row>
    <row r="237" spans="14:14" x14ac:dyDescent="0.35">
      <c r="N237" s="9"/>
    </row>
    <row r="238" spans="14:14" x14ac:dyDescent="0.35">
      <c r="N238" s="9"/>
    </row>
    <row r="239" spans="14:14" x14ac:dyDescent="0.35">
      <c r="N239" s="9"/>
    </row>
    <row r="240" spans="14:14" x14ac:dyDescent="0.35">
      <c r="N240" s="9"/>
    </row>
    <row r="241" spans="14:14" x14ac:dyDescent="0.35">
      <c r="N241" s="9"/>
    </row>
    <row r="242" spans="14:14" x14ac:dyDescent="0.35">
      <c r="N242" s="9"/>
    </row>
    <row r="243" spans="14:14" x14ac:dyDescent="0.35">
      <c r="N243" s="9"/>
    </row>
    <row r="244" spans="14:14" x14ac:dyDescent="0.35">
      <c r="N244" s="9"/>
    </row>
    <row r="245" spans="14:14" x14ac:dyDescent="0.35">
      <c r="N245" s="9"/>
    </row>
    <row r="246" spans="14:14" x14ac:dyDescent="0.35">
      <c r="N246" s="9"/>
    </row>
    <row r="247" spans="14:14" x14ac:dyDescent="0.35">
      <c r="N247" s="9"/>
    </row>
    <row r="248" spans="14:14" x14ac:dyDescent="0.35">
      <c r="N248" s="9"/>
    </row>
    <row r="249" spans="14:14" x14ac:dyDescent="0.35">
      <c r="N249" s="9"/>
    </row>
    <row r="250" spans="14:14" x14ac:dyDescent="0.35">
      <c r="N250" s="9"/>
    </row>
    <row r="251" spans="14:14" x14ac:dyDescent="0.35">
      <c r="N251" s="9"/>
    </row>
    <row r="252" spans="14:14" x14ac:dyDescent="0.35">
      <c r="N252" s="9"/>
    </row>
    <row r="253" spans="14:14" x14ac:dyDescent="0.35">
      <c r="N253" s="9"/>
    </row>
    <row r="254" spans="14:14" x14ac:dyDescent="0.35">
      <c r="N254" s="9"/>
    </row>
    <row r="255" spans="14:14" x14ac:dyDescent="0.35">
      <c r="N255" s="9"/>
    </row>
    <row r="256" spans="14:14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  <row r="747" spans="14:14" x14ac:dyDescent="0.35">
      <c r="N747" s="9"/>
    </row>
    <row r="748" spans="14:14" x14ac:dyDescent="0.35">
      <c r="N748" s="9"/>
    </row>
    <row r="749" spans="14:14" x14ac:dyDescent="0.35">
      <c r="N749" s="9"/>
    </row>
    <row r="750" spans="14:14" x14ac:dyDescent="0.35">
      <c r="N750" s="9"/>
    </row>
    <row r="751" spans="14:14" x14ac:dyDescent="0.35">
      <c r="N751" s="9"/>
    </row>
    <row r="752" spans="14:14" x14ac:dyDescent="0.35">
      <c r="N752" s="9"/>
    </row>
    <row r="753" spans="14:14" x14ac:dyDescent="0.35">
      <c r="N753" s="9"/>
    </row>
    <row r="754" spans="14:14" x14ac:dyDescent="0.35">
      <c r="N754" s="9"/>
    </row>
    <row r="755" spans="14:14" x14ac:dyDescent="0.35">
      <c r="N755" s="9"/>
    </row>
    <row r="756" spans="14:14" x14ac:dyDescent="0.35">
      <c r="N756" s="9"/>
    </row>
    <row r="757" spans="14:14" x14ac:dyDescent="0.35">
      <c r="N757" s="9"/>
    </row>
    <row r="758" spans="14:14" x14ac:dyDescent="0.35">
      <c r="N758" s="9"/>
    </row>
    <row r="759" spans="14:14" x14ac:dyDescent="0.35">
      <c r="N759" s="9"/>
    </row>
    <row r="760" spans="14:14" x14ac:dyDescent="0.35">
      <c r="N760" s="9"/>
    </row>
    <row r="761" spans="14:14" x14ac:dyDescent="0.35">
      <c r="N761" s="9"/>
    </row>
    <row r="762" spans="14:14" x14ac:dyDescent="0.35">
      <c r="N762" s="9"/>
    </row>
    <row r="763" spans="14:14" x14ac:dyDescent="0.35">
      <c r="N763" s="9"/>
    </row>
    <row r="764" spans="14:14" x14ac:dyDescent="0.35">
      <c r="N764" s="9"/>
    </row>
    <row r="765" spans="14:14" x14ac:dyDescent="0.35">
      <c r="N765" s="9"/>
    </row>
    <row r="766" spans="14:14" x14ac:dyDescent="0.35">
      <c r="N766" s="9"/>
    </row>
    <row r="767" spans="14:14" x14ac:dyDescent="0.35">
      <c r="N767" s="9"/>
    </row>
    <row r="768" spans="14:14" x14ac:dyDescent="0.35">
      <c r="N768" s="9"/>
    </row>
    <row r="769" spans="14:14" x14ac:dyDescent="0.35">
      <c r="N769" s="9"/>
    </row>
    <row r="770" spans="14:14" x14ac:dyDescent="0.35">
      <c r="N770" s="9"/>
    </row>
    <row r="771" spans="14:14" x14ac:dyDescent="0.35">
      <c r="N771" s="9"/>
    </row>
    <row r="772" spans="14:14" x14ac:dyDescent="0.35">
      <c r="N772" s="9"/>
    </row>
    <row r="773" spans="14:14" x14ac:dyDescent="0.35">
      <c r="N773" s="9"/>
    </row>
    <row r="774" spans="14:14" x14ac:dyDescent="0.35">
      <c r="N774" s="9"/>
    </row>
    <row r="775" spans="14:14" x14ac:dyDescent="0.35">
      <c r="N775" s="9"/>
    </row>
    <row r="776" spans="14:14" x14ac:dyDescent="0.35">
      <c r="N776" s="9"/>
    </row>
    <row r="777" spans="14:14" x14ac:dyDescent="0.35">
      <c r="N777" s="9"/>
    </row>
    <row r="778" spans="14:14" x14ac:dyDescent="0.35">
      <c r="N778" s="9"/>
    </row>
    <row r="779" spans="14:14" x14ac:dyDescent="0.35">
      <c r="N779" s="9"/>
    </row>
    <row r="780" spans="14:14" x14ac:dyDescent="0.35">
      <c r="N780" s="9"/>
    </row>
    <row r="781" spans="14:14" x14ac:dyDescent="0.35">
      <c r="N781" s="9"/>
    </row>
    <row r="782" spans="14:14" x14ac:dyDescent="0.35">
      <c r="N782" s="9"/>
    </row>
    <row r="783" spans="14:14" x14ac:dyDescent="0.35">
      <c r="N783" s="9"/>
    </row>
    <row r="784" spans="14:14" x14ac:dyDescent="0.35">
      <c r="N784" s="9"/>
    </row>
    <row r="785" spans="14:14" x14ac:dyDescent="0.35">
      <c r="N785" s="9"/>
    </row>
    <row r="786" spans="14:14" x14ac:dyDescent="0.35">
      <c r="N786" s="9"/>
    </row>
    <row r="787" spans="14:14" x14ac:dyDescent="0.35">
      <c r="N787" s="9"/>
    </row>
    <row r="788" spans="14:14" x14ac:dyDescent="0.35">
      <c r="N788" s="9"/>
    </row>
    <row r="789" spans="14:14" x14ac:dyDescent="0.35">
      <c r="N789" s="9"/>
    </row>
    <row r="790" spans="14:14" x14ac:dyDescent="0.35">
      <c r="N790" s="9"/>
    </row>
    <row r="791" spans="14:14" x14ac:dyDescent="0.35">
      <c r="N791" s="9"/>
    </row>
    <row r="792" spans="14:14" x14ac:dyDescent="0.35">
      <c r="N792" s="9"/>
    </row>
    <row r="793" spans="14:14" x14ac:dyDescent="0.35">
      <c r="N793" s="9"/>
    </row>
    <row r="794" spans="14:14" x14ac:dyDescent="0.35">
      <c r="N794" s="9"/>
    </row>
    <row r="795" spans="14:14" x14ac:dyDescent="0.35">
      <c r="N795" s="9"/>
    </row>
  </sheetData>
  <mergeCells count="1">
    <mergeCell ref="A34:D34"/>
  </mergeCells>
  <phoneticPr fontId="0" type="noConversion"/>
  <pageMargins left="0.5" right="0.5" top="0.5" bottom="0.5" header="0.5" footer="0.4"/>
  <pageSetup scale="66" orientation="landscape" r:id="rId1"/>
  <headerFooter alignWithMargins="0">
    <oddFooter>&amp;C&amp;F&amp;R&amp;D &amp;T</oddFooter>
  </headerFooter>
  <customProperties>
    <customPr name="f7bae8932" r:id="rId2"/>
  </customPropertie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4"/>
  <sheetViews>
    <sheetView workbookViewId="0">
      <selection activeCell="E22" sqref="E22"/>
    </sheetView>
  </sheetViews>
  <sheetFormatPr defaultColWidth="8.5703125" defaultRowHeight="12.4" x14ac:dyDescent="0.35"/>
  <cols>
    <col min="3" max="3" width="11.7109375" bestFit="1" customWidth="1"/>
  </cols>
  <sheetData>
    <row r="1" spans="1:11" ht="15.4" thickBot="1" x14ac:dyDescent="0.45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15.4" x14ac:dyDescent="0.45">
      <c r="A3" s="161" t="s">
        <v>95</v>
      </c>
    </row>
    <row r="5" spans="1:11" x14ac:dyDescent="0.35">
      <c r="A5" s="164" t="s">
        <v>96</v>
      </c>
    </row>
    <row r="6" spans="1:11" x14ac:dyDescent="0.35">
      <c r="A6" s="165" t="s">
        <v>97</v>
      </c>
    </row>
    <row r="7" spans="1:11" x14ac:dyDescent="0.35">
      <c r="A7" s="165" t="s">
        <v>98</v>
      </c>
    </row>
    <row r="34" ht="12.75" customHeight="1" x14ac:dyDescent="0.35"/>
  </sheetData>
  <phoneticPr fontId="0" type="noConversion"/>
  <pageMargins left="0.75" right="0.75" top="1" bottom="1" header="0.5" footer="0.5"/>
  <pageSetup orientation="landscape" r:id="rId1"/>
  <headerFooter alignWithMargins="0"/>
  <customProperties>
    <customPr name="f368f0114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84"/>
  <sheetViews>
    <sheetView zoomScale="90" zoomScaleNormal="90" workbookViewId="0">
      <selection activeCell="J25" sqref="J25"/>
    </sheetView>
  </sheetViews>
  <sheetFormatPr defaultColWidth="8.5703125" defaultRowHeight="12.4" x14ac:dyDescent="0.35"/>
  <cols>
    <col min="1" max="1" width="13.85546875" customWidth="1"/>
    <col min="2" max="2" width="14.28515625" customWidth="1"/>
    <col min="3" max="3" width="13" customWidth="1"/>
    <col min="4" max="4" width="17.85546875" customWidth="1"/>
    <col min="5" max="5" width="13.140625" customWidth="1"/>
    <col min="6" max="6" width="8.5703125" style="132" customWidth="1"/>
    <col min="7" max="7" width="29.42578125" bestFit="1" customWidth="1"/>
    <col min="8" max="8" width="6.140625" customWidth="1"/>
    <col min="10" max="10" width="16.42578125" bestFit="1" customWidth="1"/>
    <col min="11" max="11" width="16" bestFit="1" customWidth="1"/>
  </cols>
  <sheetData>
    <row r="1" spans="1:12" ht="17.649999999999999" x14ac:dyDescent="0.5">
      <c r="A1" s="108" t="s">
        <v>9</v>
      </c>
    </row>
    <row r="2" spans="1:12" ht="17.649999999999999" x14ac:dyDescent="0.5">
      <c r="A2" s="108" t="s">
        <v>60</v>
      </c>
    </row>
    <row r="3" spans="1:12" ht="17.649999999999999" x14ac:dyDescent="0.5">
      <c r="A3" s="108" t="s">
        <v>101</v>
      </c>
    </row>
    <row r="4" spans="1:12" x14ac:dyDescent="0.35">
      <c r="A4" s="60" t="s">
        <v>103</v>
      </c>
    </row>
    <row r="5" spans="1:12" x14ac:dyDescent="0.35">
      <c r="A5" s="62"/>
    </row>
    <row r="6" spans="1:12" ht="13.5" thickBot="1" x14ac:dyDescent="0.4">
      <c r="A6" s="63"/>
      <c r="G6" t="s">
        <v>88</v>
      </c>
      <c r="H6">
        <v>1.08</v>
      </c>
    </row>
    <row r="7" spans="1:12" x14ac:dyDescent="0.35">
      <c r="A7" s="80" t="s">
        <v>41</v>
      </c>
      <c r="B7" s="19"/>
      <c r="C7" s="19"/>
      <c r="D7" s="20"/>
      <c r="E7" s="21"/>
      <c r="G7" s="119"/>
    </row>
    <row r="8" spans="1:12" ht="23.25" customHeight="1" x14ac:dyDescent="0.35">
      <c r="A8" s="138" t="s">
        <v>42</v>
      </c>
      <c r="B8" s="139" t="s">
        <v>43</v>
      </c>
      <c r="C8" s="139" t="s">
        <v>44</v>
      </c>
      <c r="D8" s="140" t="s">
        <v>59</v>
      </c>
      <c r="E8" s="156" t="s">
        <v>104</v>
      </c>
      <c r="J8" t="s">
        <v>87</v>
      </c>
      <c r="K8" t="s">
        <v>59</v>
      </c>
    </row>
    <row r="9" spans="1:12" s="166" customFormat="1" ht="13.15" x14ac:dyDescent="0.4">
      <c r="A9" s="141">
        <v>5</v>
      </c>
      <c r="B9" s="142">
        <v>0.25</v>
      </c>
      <c r="C9" s="142">
        <v>0.83</v>
      </c>
      <c r="D9" s="143">
        <f>K9</f>
        <v>2.1600000000000001E-2</v>
      </c>
      <c r="E9" s="157">
        <v>592</v>
      </c>
      <c r="F9" s="172"/>
      <c r="J9" s="167">
        <v>0.02</v>
      </c>
      <c r="K9" s="166">
        <f>J9*$H$6</f>
        <v>2.1600000000000001E-2</v>
      </c>
    </row>
    <row r="10" spans="1:12" ht="12.75" x14ac:dyDescent="0.35">
      <c r="A10" s="134">
        <v>6</v>
      </c>
      <c r="B10" s="137">
        <v>0.23</v>
      </c>
      <c r="C10" s="137">
        <v>0.79</v>
      </c>
      <c r="D10" s="136">
        <f>K10</f>
        <v>2.1600000000000001E-2</v>
      </c>
      <c r="E10" s="158">
        <f>E9-((E9-E14)/5)</f>
        <v>568.20000000000005</v>
      </c>
      <c r="J10" s="135">
        <v>0.02</v>
      </c>
      <c r="K10">
        <f>J10*$H$6</f>
        <v>2.1600000000000001E-2</v>
      </c>
    </row>
    <row r="11" spans="1:12" ht="12.75" x14ac:dyDescent="0.35">
      <c r="A11" s="133">
        <v>7</v>
      </c>
      <c r="B11" s="137">
        <v>0.22</v>
      </c>
      <c r="C11" s="137">
        <v>0.76</v>
      </c>
      <c r="D11" s="136">
        <f t="shared" ref="D11:D69" si="0">K11</f>
        <v>1.0800000000000001E-2</v>
      </c>
      <c r="E11" s="158">
        <f>E9-(2*(E9-E14)/5)</f>
        <v>544.4</v>
      </c>
      <c r="J11" s="135">
        <v>0.01</v>
      </c>
      <c r="K11">
        <f>J11*$H$6</f>
        <v>1.0800000000000001E-2</v>
      </c>
    </row>
    <row r="12" spans="1:12" ht="12.75" x14ac:dyDescent="0.35">
      <c r="A12" s="133">
        <v>8</v>
      </c>
      <c r="B12" s="137">
        <v>0.2</v>
      </c>
      <c r="C12" s="137">
        <v>0.73</v>
      </c>
      <c r="D12" s="136">
        <f t="shared" si="0"/>
        <v>1.0800000000000001E-2</v>
      </c>
      <c r="E12" s="158">
        <f>E9-(3*(E9-E14)/5)</f>
        <v>520.6</v>
      </c>
      <c r="J12" s="135">
        <v>0.01</v>
      </c>
      <c r="K12">
        <f>J12*$H$6</f>
        <v>1.0800000000000001E-2</v>
      </c>
    </row>
    <row r="13" spans="1:12" ht="12.75" x14ac:dyDescent="0.35">
      <c r="A13" s="133">
        <v>9</v>
      </c>
      <c r="B13" s="137">
        <v>0.18</v>
      </c>
      <c r="C13" s="137">
        <v>0.7</v>
      </c>
      <c r="D13" s="136">
        <f t="shared" si="0"/>
        <v>1.0800000000000001E-2</v>
      </c>
      <c r="E13" s="158">
        <f>E9-(4*(E9-E14)/5)</f>
        <v>496.8</v>
      </c>
      <c r="J13" s="135">
        <v>0.01</v>
      </c>
      <c r="K13">
        <f>J13*$H$6</f>
        <v>1.0800000000000001E-2</v>
      </c>
    </row>
    <row r="14" spans="1:12" s="166" customFormat="1" ht="13.15" x14ac:dyDescent="0.4">
      <c r="A14" s="141">
        <v>10</v>
      </c>
      <c r="B14" s="142">
        <v>0.17</v>
      </c>
      <c r="C14" s="142">
        <v>0.67</v>
      </c>
      <c r="D14" s="143">
        <f t="shared" si="0"/>
        <v>1.0800000000000001E-2</v>
      </c>
      <c r="E14" s="157">
        <v>473</v>
      </c>
      <c r="F14" s="172"/>
      <c r="J14" s="167">
        <v>0.01</v>
      </c>
      <c r="K14" s="166">
        <f t="shared" ref="K14:K69" si="1">J14*$H$6</f>
        <v>1.0800000000000001E-2</v>
      </c>
    </row>
    <row r="15" spans="1:12" ht="12.75" x14ac:dyDescent="0.35">
      <c r="A15" s="133">
        <v>11</v>
      </c>
      <c r="B15" s="137">
        <v>0.15</v>
      </c>
      <c r="C15" s="137">
        <v>0.63</v>
      </c>
      <c r="D15" s="136">
        <f t="shared" si="0"/>
        <v>1.0800000000000001E-2</v>
      </c>
      <c r="E15" s="158">
        <f>E14-((E14-E19)/5)</f>
        <v>456.4</v>
      </c>
      <c r="I15" s="7"/>
      <c r="J15" s="135">
        <v>0.01</v>
      </c>
      <c r="K15">
        <f t="shared" si="1"/>
        <v>1.0800000000000001E-2</v>
      </c>
      <c r="L15" s="7"/>
    </row>
    <row r="16" spans="1:12" ht="12.75" x14ac:dyDescent="0.35">
      <c r="A16" s="133">
        <v>12</v>
      </c>
      <c r="B16" s="137">
        <v>0.14000000000000001</v>
      </c>
      <c r="C16" s="137">
        <v>0.6</v>
      </c>
      <c r="D16" s="136">
        <f t="shared" si="0"/>
        <v>1.0800000000000001E-2</v>
      </c>
      <c r="E16" s="158">
        <f>E14-(2*(E14-E19)/5)</f>
        <v>439.8</v>
      </c>
      <c r="J16" s="135">
        <v>0.01</v>
      </c>
      <c r="K16">
        <f t="shared" si="1"/>
        <v>1.0800000000000001E-2</v>
      </c>
      <c r="L16" s="7"/>
    </row>
    <row r="17" spans="1:12" ht="12.75" x14ac:dyDescent="0.35">
      <c r="A17" s="133">
        <v>13</v>
      </c>
      <c r="B17" s="137">
        <v>0.13</v>
      </c>
      <c r="C17" s="137">
        <v>0.56000000000000005</v>
      </c>
      <c r="D17" s="136">
        <f t="shared" si="0"/>
        <v>1.0800000000000001E-2</v>
      </c>
      <c r="E17" s="158">
        <f>E14-(3*(E14-E19)/5)</f>
        <v>423.2</v>
      </c>
      <c r="J17" s="135">
        <v>0.01</v>
      </c>
      <c r="K17">
        <f t="shared" si="1"/>
        <v>1.0800000000000001E-2</v>
      </c>
      <c r="L17" s="7"/>
    </row>
    <row r="18" spans="1:12" ht="12.75" x14ac:dyDescent="0.35">
      <c r="A18" s="133">
        <v>14</v>
      </c>
      <c r="B18" s="137">
        <v>0.12</v>
      </c>
      <c r="C18" s="137">
        <v>0.53</v>
      </c>
      <c r="D18" s="136">
        <f t="shared" si="0"/>
        <v>1.0800000000000001E-2</v>
      </c>
      <c r="E18" s="158">
        <f>E14-(4*(E14-E19)/5)</f>
        <v>406.6</v>
      </c>
      <c r="J18" s="135">
        <v>0.01</v>
      </c>
      <c r="K18">
        <f t="shared" si="1"/>
        <v>1.0800000000000001E-2</v>
      </c>
      <c r="L18" s="7"/>
    </row>
    <row r="19" spans="1:12" s="166" customFormat="1" ht="13.15" x14ac:dyDescent="0.4">
      <c r="A19" s="141">
        <v>15</v>
      </c>
      <c r="B19" s="142">
        <v>0.11</v>
      </c>
      <c r="C19" s="142">
        <v>0.5</v>
      </c>
      <c r="D19" s="143">
        <f t="shared" si="0"/>
        <v>1.0800000000000001E-2</v>
      </c>
      <c r="E19" s="157">
        <v>390</v>
      </c>
      <c r="F19" s="172"/>
      <c r="H19" s="168"/>
      <c r="I19" s="169"/>
      <c r="J19" s="167">
        <v>0.01</v>
      </c>
      <c r="K19" s="166">
        <f t="shared" si="1"/>
        <v>1.0800000000000001E-2</v>
      </c>
    </row>
    <row r="20" spans="1:12" ht="15" x14ac:dyDescent="0.4">
      <c r="A20" s="133">
        <v>16</v>
      </c>
      <c r="B20" s="137">
        <v>0.1</v>
      </c>
      <c r="C20" s="137">
        <v>0.48</v>
      </c>
      <c r="D20" s="136">
        <f t="shared" si="0"/>
        <v>1.0800000000000001E-2</v>
      </c>
      <c r="E20" s="158">
        <f>E19-((E19-E24)/5)</f>
        <v>376.8</v>
      </c>
      <c r="G20" s="24"/>
      <c r="I20" s="15"/>
      <c r="J20" s="135">
        <v>0.01</v>
      </c>
      <c r="K20">
        <f t="shared" si="1"/>
        <v>1.0800000000000001E-2</v>
      </c>
    </row>
    <row r="21" spans="1:12" ht="12.75" x14ac:dyDescent="0.35">
      <c r="A21" s="133">
        <v>17</v>
      </c>
      <c r="B21" s="137">
        <v>0.09</v>
      </c>
      <c r="C21" s="137">
        <v>0.47</v>
      </c>
      <c r="D21" s="136">
        <f t="shared" si="0"/>
        <v>1.0800000000000001E-2</v>
      </c>
      <c r="E21" s="158">
        <f>E19-(2*(E19-E24)/5)</f>
        <v>363.6</v>
      </c>
      <c r="J21" s="135">
        <v>0.01</v>
      </c>
      <c r="K21">
        <f t="shared" si="1"/>
        <v>1.0800000000000001E-2</v>
      </c>
    </row>
    <row r="22" spans="1:12" ht="12.75" x14ac:dyDescent="0.35">
      <c r="A22" s="133">
        <v>18</v>
      </c>
      <c r="B22" s="137">
        <v>0.09</v>
      </c>
      <c r="C22" s="137">
        <v>0.45</v>
      </c>
      <c r="D22" s="136">
        <f t="shared" si="0"/>
        <v>1.0800000000000001E-2</v>
      </c>
      <c r="E22" s="158">
        <f>E19-(3*(E19-E24)/5)</f>
        <v>350.4</v>
      </c>
      <c r="J22" s="135">
        <v>0.01</v>
      </c>
      <c r="K22">
        <f t="shared" si="1"/>
        <v>1.0800000000000001E-2</v>
      </c>
    </row>
    <row r="23" spans="1:12" ht="12.75" x14ac:dyDescent="0.35">
      <c r="A23" s="133">
        <v>19</v>
      </c>
      <c r="B23" s="137">
        <v>0.08</v>
      </c>
      <c r="C23" s="137">
        <v>0.43</v>
      </c>
      <c r="D23" s="136">
        <f t="shared" si="0"/>
        <v>1.0800000000000001E-2</v>
      </c>
      <c r="E23" s="158">
        <f>E19-(4*(E19-E24)/5)</f>
        <v>337.2</v>
      </c>
      <c r="J23" s="135">
        <v>0.01</v>
      </c>
      <c r="K23">
        <f t="shared" si="1"/>
        <v>1.0800000000000001E-2</v>
      </c>
    </row>
    <row r="24" spans="1:12" s="166" customFormat="1" ht="13.15" x14ac:dyDescent="0.4">
      <c r="A24" s="141">
        <v>20</v>
      </c>
      <c r="B24" s="137">
        <v>7.0000000000000007E-2</v>
      </c>
      <c r="C24" s="142">
        <v>0.42</v>
      </c>
      <c r="D24" s="143">
        <f t="shared" si="0"/>
        <v>1.0800000000000001E-2</v>
      </c>
      <c r="E24" s="157">
        <v>324</v>
      </c>
      <c r="F24" s="172"/>
      <c r="J24" s="167">
        <v>0.01</v>
      </c>
      <c r="K24" s="166">
        <f t="shared" si="1"/>
        <v>1.0800000000000001E-2</v>
      </c>
    </row>
    <row r="25" spans="1:12" ht="12.75" x14ac:dyDescent="0.35">
      <c r="A25" s="133">
        <v>21</v>
      </c>
      <c r="B25" s="137">
        <v>7.0000000000000007E-2</v>
      </c>
      <c r="C25" s="137">
        <v>0.4</v>
      </c>
      <c r="D25" s="136">
        <f t="shared" si="0"/>
        <v>1.0800000000000001E-2</v>
      </c>
      <c r="E25" s="158">
        <f>E24-((E24-E29)/5)</f>
        <v>314.60000000000002</v>
      </c>
      <c r="J25" s="135">
        <v>0.01</v>
      </c>
      <c r="K25">
        <f t="shared" si="1"/>
        <v>1.0800000000000001E-2</v>
      </c>
    </row>
    <row r="26" spans="1:12" ht="12.75" x14ac:dyDescent="0.35">
      <c r="A26" s="133">
        <v>22</v>
      </c>
      <c r="B26" s="137">
        <v>7.0000000000000007E-2</v>
      </c>
      <c r="C26" s="137">
        <v>0.39</v>
      </c>
      <c r="D26" s="136">
        <f t="shared" si="0"/>
        <v>1.0800000000000001E-2</v>
      </c>
      <c r="E26" s="158">
        <f>E24-(2*(E24-E29)/5)</f>
        <v>305.2</v>
      </c>
      <c r="J26" s="135">
        <v>0.01</v>
      </c>
      <c r="K26">
        <f t="shared" si="1"/>
        <v>1.0800000000000001E-2</v>
      </c>
    </row>
    <row r="27" spans="1:12" ht="12.75" x14ac:dyDescent="0.35">
      <c r="A27" s="133">
        <v>23</v>
      </c>
      <c r="B27" s="137">
        <v>0.06</v>
      </c>
      <c r="C27" s="137">
        <v>0.38</v>
      </c>
      <c r="D27" s="136">
        <f t="shared" si="0"/>
        <v>1.0800000000000001E-2</v>
      </c>
      <c r="E27" s="158">
        <f>E24-(3*(E24-E29)/5)</f>
        <v>295.8</v>
      </c>
      <c r="J27" s="135">
        <v>0.01</v>
      </c>
      <c r="K27">
        <f t="shared" si="1"/>
        <v>1.0800000000000001E-2</v>
      </c>
    </row>
    <row r="28" spans="1:12" ht="12.75" x14ac:dyDescent="0.35">
      <c r="A28" s="133">
        <v>24</v>
      </c>
      <c r="B28" s="137">
        <v>0.06</v>
      </c>
      <c r="C28" s="137">
        <v>0.37</v>
      </c>
      <c r="D28" s="136">
        <f t="shared" si="0"/>
        <v>5.4000000000000003E-3</v>
      </c>
      <c r="E28" s="158">
        <f>E24-(4*(E24-E29)/5)</f>
        <v>286.39999999999998</v>
      </c>
      <c r="J28" s="170">
        <v>5.0000000000000001E-3</v>
      </c>
      <c r="K28">
        <f t="shared" si="1"/>
        <v>5.4000000000000003E-3</v>
      </c>
    </row>
    <row r="29" spans="1:12" s="166" customFormat="1" ht="13.15" x14ac:dyDescent="0.4">
      <c r="A29" s="141">
        <v>25</v>
      </c>
      <c r="B29" s="142">
        <v>0.06</v>
      </c>
      <c r="C29" s="142">
        <v>0.36</v>
      </c>
      <c r="D29" s="143">
        <f t="shared" si="0"/>
        <v>5.4000000000000003E-3</v>
      </c>
      <c r="E29" s="157">
        <v>277</v>
      </c>
      <c r="F29" s="172"/>
      <c r="J29" s="171">
        <v>5.0000000000000001E-3</v>
      </c>
      <c r="K29" s="166">
        <f t="shared" si="1"/>
        <v>5.4000000000000003E-3</v>
      </c>
    </row>
    <row r="30" spans="1:12" ht="12.75" x14ac:dyDescent="0.35">
      <c r="A30" s="133">
        <v>26</v>
      </c>
      <c r="B30" s="137">
        <v>0.05</v>
      </c>
      <c r="C30" s="137">
        <v>0.34</v>
      </c>
      <c r="D30" s="136">
        <f t="shared" si="0"/>
        <v>4.3200000000000001E-3</v>
      </c>
      <c r="E30" s="158">
        <f>E29-((E29-E34)/5)</f>
        <v>271</v>
      </c>
      <c r="J30" s="135">
        <v>4.0000000000000001E-3</v>
      </c>
      <c r="K30">
        <f t="shared" si="1"/>
        <v>4.3200000000000001E-3</v>
      </c>
    </row>
    <row r="31" spans="1:12" ht="12.75" x14ac:dyDescent="0.35">
      <c r="A31" s="133">
        <v>27</v>
      </c>
      <c r="B31" s="137">
        <v>0.05</v>
      </c>
      <c r="C31" s="137">
        <v>0.33</v>
      </c>
      <c r="D31" s="136">
        <f t="shared" si="0"/>
        <v>4.3200000000000001E-3</v>
      </c>
      <c r="E31" s="158">
        <f>E29-(2*(E29-E34)/5)</f>
        <v>265</v>
      </c>
      <c r="J31" s="135">
        <v>4.0000000000000001E-3</v>
      </c>
      <c r="K31">
        <f t="shared" si="1"/>
        <v>4.3200000000000001E-3</v>
      </c>
    </row>
    <row r="32" spans="1:12" ht="12.75" x14ac:dyDescent="0.35">
      <c r="A32" s="133">
        <v>28</v>
      </c>
      <c r="B32" s="137">
        <v>0.05</v>
      </c>
      <c r="C32" s="137">
        <v>0.33</v>
      </c>
      <c r="D32" s="136">
        <f t="shared" si="0"/>
        <v>4.3200000000000001E-3</v>
      </c>
      <c r="E32" s="158">
        <f>E29-(3*(E29-E34)/5)</f>
        <v>259</v>
      </c>
      <c r="J32" s="135">
        <v>4.0000000000000001E-3</v>
      </c>
      <c r="K32">
        <f t="shared" si="1"/>
        <v>4.3200000000000001E-3</v>
      </c>
    </row>
    <row r="33" spans="1:11" ht="12.75" x14ac:dyDescent="0.35">
      <c r="A33" s="133">
        <v>29</v>
      </c>
      <c r="B33" s="137">
        <v>0.05</v>
      </c>
      <c r="C33" s="137">
        <v>0.32</v>
      </c>
      <c r="D33" s="136">
        <f t="shared" si="0"/>
        <v>4.3200000000000001E-3</v>
      </c>
      <c r="E33" s="158">
        <f>E29-(4*(E29-E34)/5)</f>
        <v>253</v>
      </c>
      <c r="J33" s="135">
        <v>4.0000000000000001E-3</v>
      </c>
      <c r="K33">
        <f t="shared" si="1"/>
        <v>4.3200000000000001E-3</v>
      </c>
    </row>
    <row r="34" spans="1:11" s="166" customFormat="1" ht="13.15" x14ac:dyDescent="0.4">
      <c r="A34" s="141">
        <v>30</v>
      </c>
      <c r="B34" s="142">
        <v>0.04</v>
      </c>
      <c r="C34" s="142">
        <v>0.31</v>
      </c>
      <c r="D34" s="143">
        <f t="shared" si="0"/>
        <v>4.3200000000000001E-3</v>
      </c>
      <c r="E34" s="157">
        <v>247</v>
      </c>
      <c r="F34" s="172"/>
      <c r="J34" s="167">
        <v>4.0000000000000001E-3</v>
      </c>
      <c r="K34" s="166">
        <f t="shared" si="1"/>
        <v>4.3200000000000001E-3</v>
      </c>
    </row>
    <row r="35" spans="1:11" ht="12.75" x14ac:dyDescent="0.35">
      <c r="A35" s="133">
        <v>31</v>
      </c>
      <c r="B35" s="137">
        <v>0.04</v>
      </c>
      <c r="C35" s="137">
        <v>0.3</v>
      </c>
      <c r="D35" s="136">
        <f t="shared" si="0"/>
        <v>4.3200000000000001E-3</v>
      </c>
      <c r="E35" s="158">
        <f>E34-((E34-E39)/5)</f>
        <v>243.4</v>
      </c>
      <c r="J35" s="135">
        <v>4.0000000000000001E-3</v>
      </c>
      <c r="K35">
        <f t="shared" si="1"/>
        <v>4.3200000000000001E-3</v>
      </c>
    </row>
    <row r="36" spans="1:11" ht="12.75" x14ac:dyDescent="0.35">
      <c r="A36" s="133">
        <v>32</v>
      </c>
      <c r="B36" s="137">
        <v>0.04</v>
      </c>
      <c r="C36" s="137">
        <v>0.28999999999999998</v>
      </c>
      <c r="D36" s="136">
        <f t="shared" si="0"/>
        <v>4.3200000000000001E-3</v>
      </c>
      <c r="E36" s="158">
        <f>E34-(2*(E34-E39)/5)</f>
        <v>239.8</v>
      </c>
      <c r="J36" s="135">
        <v>4.0000000000000001E-3</v>
      </c>
      <c r="K36">
        <f>J36*$H$6</f>
        <v>4.3200000000000001E-3</v>
      </c>
    </row>
    <row r="37" spans="1:11" ht="12.75" x14ac:dyDescent="0.35">
      <c r="A37" s="133">
        <v>33</v>
      </c>
      <c r="B37" s="137">
        <v>0.04</v>
      </c>
      <c r="C37" s="137">
        <v>0.28000000000000003</v>
      </c>
      <c r="D37" s="136">
        <f t="shared" si="0"/>
        <v>4.3200000000000001E-3</v>
      </c>
      <c r="E37" s="158">
        <f>E34-(3*(E34-E39)/5)</f>
        <v>236.2</v>
      </c>
      <c r="J37" s="135">
        <v>4.0000000000000001E-3</v>
      </c>
      <c r="K37">
        <f t="shared" si="1"/>
        <v>4.3200000000000001E-3</v>
      </c>
    </row>
    <row r="38" spans="1:11" ht="12.75" x14ac:dyDescent="0.35">
      <c r="A38" s="133">
        <v>34</v>
      </c>
      <c r="B38" s="137">
        <v>0.04</v>
      </c>
      <c r="C38" s="137">
        <v>0.28000000000000003</v>
      </c>
      <c r="D38" s="136">
        <f t="shared" si="0"/>
        <v>4.3200000000000001E-3</v>
      </c>
      <c r="E38" s="158">
        <f>E34-(4*(E34-E39)/5)</f>
        <v>232.6</v>
      </c>
      <c r="J38" s="135">
        <v>4.0000000000000001E-3</v>
      </c>
      <c r="K38">
        <f t="shared" si="1"/>
        <v>4.3200000000000001E-3</v>
      </c>
    </row>
    <row r="39" spans="1:11" s="166" customFormat="1" ht="13.15" x14ac:dyDescent="0.4">
      <c r="A39" s="141">
        <v>35</v>
      </c>
      <c r="B39" s="142">
        <v>0.04</v>
      </c>
      <c r="C39" s="142">
        <v>0.27</v>
      </c>
      <c r="D39" s="143">
        <f t="shared" si="0"/>
        <v>4.3200000000000001E-3</v>
      </c>
      <c r="E39" s="157">
        <v>229</v>
      </c>
      <c r="F39" s="172"/>
      <c r="J39" s="167">
        <v>4.0000000000000001E-3</v>
      </c>
      <c r="K39" s="166">
        <f t="shared" si="1"/>
        <v>4.3200000000000001E-3</v>
      </c>
    </row>
    <row r="40" spans="1:11" ht="12.75" x14ac:dyDescent="0.35">
      <c r="A40" s="133">
        <v>36</v>
      </c>
      <c r="B40" s="137">
        <v>0.04</v>
      </c>
      <c r="C40" s="137">
        <v>0.26</v>
      </c>
      <c r="D40" s="136">
        <f t="shared" si="0"/>
        <v>4.3200000000000001E-3</v>
      </c>
      <c r="E40" s="158">
        <f>E39-((E39-E44)/5)</f>
        <v>227.6</v>
      </c>
      <c r="J40" s="135">
        <v>4.0000000000000001E-3</v>
      </c>
      <c r="K40">
        <f t="shared" si="1"/>
        <v>4.3200000000000001E-3</v>
      </c>
    </row>
    <row r="41" spans="1:11" ht="12.75" x14ac:dyDescent="0.35">
      <c r="A41" s="133">
        <v>37</v>
      </c>
      <c r="B41" s="137">
        <v>0.03</v>
      </c>
      <c r="C41" s="137">
        <v>0.26</v>
      </c>
      <c r="D41" s="136">
        <f t="shared" si="0"/>
        <v>4.3200000000000001E-3</v>
      </c>
      <c r="E41" s="158">
        <f>E39-(2*(E39-E44)/5)</f>
        <v>226.2</v>
      </c>
      <c r="J41" s="135">
        <v>4.0000000000000001E-3</v>
      </c>
      <c r="K41">
        <f t="shared" si="1"/>
        <v>4.3200000000000001E-3</v>
      </c>
    </row>
    <row r="42" spans="1:11" ht="12.75" x14ac:dyDescent="0.35">
      <c r="A42" s="133">
        <v>38</v>
      </c>
      <c r="B42" s="137">
        <v>0.03</v>
      </c>
      <c r="C42" s="137">
        <v>0.25</v>
      </c>
      <c r="D42" s="136">
        <f t="shared" si="0"/>
        <v>3.2400000000000003E-3</v>
      </c>
      <c r="E42" s="158">
        <f>E39-(3*(E39-E44)/5)</f>
        <v>224.8</v>
      </c>
      <c r="J42" s="135">
        <v>3.0000000000000001E-3</v>
      </c>
      <c r="K42">
        <f t="shared" si="1"/>
        <v>3.2400000000000003E-3</v>
      </c>
    </row>
    <row r="43" spans="1:11" ht="12.75" x14ac:dyDescent="0.35">
      <c r="A43" s="133">
        <v>39</v>
      </c>
      <c r="B43" s="137">
        <v>0.03</v>
      </c>
      <c r="C43" s="137">
        <v>0.25</v>
      </c>
      <c r="D43" s="136">
        <f t="shared" si="0"/>
        <v>3.2400000000000003E-3</v>
      </c>
      <c r="E43" s="158">
        <f>E39-(4*(E39-E44)/5)</f>
        <v>223.4</v>
      </c>
      <c r="J43" s="135">
        <v>3.0000000000000001E-3</v>
      </c>
      <c r="K43">
        <f t="shared" si="1"/>
        <v>3.2400000000000003E-3</v>
      </c>
    </row>
    <row r="44" spans="1:11" s="166" customFormat="1" ht="13.15" x14ac:dyDescent="0.4">
      <c r="A44" s="141">
        <v>40</v>
      </c>
      <c r="B44" s="142">
        <v>0.03</v>
      </c>
      <c r="C44" s="142">
        <v>0.24</v>
      </c>
      <c r="D44" s="143">
        <f t="shared" si="0"/>
        <v>3.2400000000000003E-3</v>
      </c>
      <c r="E44" s="157">
        <v>222</v>
      </c>
      <c r="F44" s="172"/>
      <c r="J44" s="167">
        <v>3.0000000000000001E-3</v>
      </c>
      <c r="K44" s="166">
        <f t="shared" si="1"/>
        <v>3.2400000000000003E-3</v>
      </c>
    </row>
    <row r="45" spans="1:11" ht="12.75" x14ac:dyDescent="0.35">
      <c r="A45" s="133">
        <v>41</v>
      </c>
      <c r="B45" s="137">
        <v>0.03</v>
      </c>
      <c r="C45" s="137">
        <v>0.24</v>
      </c>
      <c r="D45" s="136">
        <f t="shared" si="0"/>
        <v>3.2400000000000003E-3</v>
      </c>
      <c r="E45" s="158">
        <f>E44-((E44-E49)/5)</f>
        <v>222</v>
      </c>
      <c r="J45" s="135">
        <v>3.0000000000000001E-3</v>
      </c>
      <c r="K45">
        <f t="shared" si="1"/>
        <v>3.2400000000000003E-3</v>
      </c>
    </row>
    <row r="46" spans="1:11" ht="12.75" x14ac:dyDescent="0.35">
      <c r="A46" s="133">
        <v>42</v>
      </c>
      <c r="B46" s="137">
        <v>0.03</v>
      </c>
      <c r="C46" s="137">
        <v>0.23</v>
      </c>
      <c r="D46" s="136">
        <f t="shared" si="0"/>
        <v>3.2400000000000003E-3</v>
      </c>
      <c r="E46" s="158">
        <f>E44-(2*(E44-E49)/5)</f>
        <v>222</v>
      </c>
      <c r="J46" s="135">
        <v>3.0000000000000001E-3</v>
      </c>
      <c r="K46">
        <f t="shared" si="1"/>
        <v>3.2400000000000003E-3</v>
      </c>
    </row>
    <row r="47" spans="1:11" ht="12.75" x14ac:dyDescent="0.35">
      <c r="A47" s="133">
        <v>43</v>
      </c>
      <c r="B47" s="137">
        <v>0.03</v>
      </c>
      <c r="C47" s="137">
        <v>0.23</v>
      </c>
      <c r="D47" s="136">
        <f t="shared" si="0"/>
        <v>3.2400000000000003E-3</v>
      </c>
      <c r="E47" s="158">
        <f>E44-(3*(E44-E49)/5)</f>
        <v>222</v>
      </c>
      <c r="J47" s="135">
        <v>3.0000000000000001E-3</v>
      </c>
      <c r="K47">
        <f t="shared" si="1"/>
        <v>3.2400000000000003E-3</v>
      </c>
    </row>
    <row r="48" spans="1:11" ht="12.75" x14ac:dyDescent="0.35">
      <c r="A48" s="133">
        <v>44</v>
      </c>
      <c r="B48" s="137">
        <v>0.03</v>
      </c>
      <c r="C48" s="137">
        <v>0.23</v>
      </c>
      <c r="D48" s="136">
        <f t="shared" si="0"/>
        <v>3.2400000000000003E-3</v>
      </c>
      <c r="E48" s="158">
        <f>E44-(4*(E44-E49)/5)</f>
        <v>222</v>
      </c>
      <c r="J48" s="135">
        <v>3.0000000000000001E-3</v>
      </c>
      <c r="K48">
        <f t="shared" si="1"/>
        <v>3.2400000000000003E-3</v>
      </c>
    </row>
    <row r="49" spans="1:11" s="166" customFormat="1" ht="13.15" x14ac:dyDescent="0.4">
      <c r="A49" s="141">
        <v>45</v>
      </c>
      <c r="B49" s="142">
        <v>0.03</v>
      </c>
      <c r="C49" s="142">
        <v>0.22</v>
      </c>
      <c r="D49" s="143">
        <f t="shared" si="0"/>
        <v>3.2400000000000003E-3</v>
      </c>
      <c r="E49" s="157">
        <v>222</v>
      </c>
      <c r="F49" s="172"/>
      <c r="J49" s="167">
        <v>3.0000000000000001E-3</v>
      </c>
      <c r="K49" s="166">
        <f t="shared" si="1"/>
        <v>3.2400000000000003E-3</v>
      </c>
    </row>
    <row r="50" spans="1:11" ht="12.75" x14ac:dyDescent="0.35">
      <c r="A50" s="133">
        <v>46</v>
      </c>
      <c r="B50" s="137">
        <v>0.03</v>
      </c>
      <c r="C50" s="137">
        <v>0.22</v>
      </c>
      <c r="D50" s="136">
        <f t="shared" si="0"/>
        <v>4.3200000000000001E-3</v>
      </c>
      <c r="E50" s="158">
        <f>E49-((E49-E54)/5)</f>
        <v>223.2</v>
      </c>
      <c r="J50" s="135">
        <v>4.0000000000000001E-3</v>
      </c>
      <c r="K50">
        <f t="shared" si="1"/>
        <v>4.3200000000000001E-3</v>
      </c>
    </row>
    <row r="51" spans="1:11" ht="12.75" x14ac:dyDescent="0.35">
      <c r="A51" s="133">
        <v>47</v>
      </c>
      <c r="B51" s="137">
        <v>0.03</v>
      </c>
      <c r="C51" s="137">
        <v>0.22</v>
      </c>
      <c r="D51" s="136">
        <f t="shared" si="0"/>
        <v>4.3200000000000001E-3</v>
      </c>
      <c r="E51" s="158">
        <f>E49-(2*(E49-E54)/5)</f>
        <v>224.4</v>
      </c>
      <c r="J51" s="135">
        <v>4.0000000000000001E-3</v>
      </c>
      <c r="K51">
        <f t="shared" si="1"/>
        <v>4.3200000000000001E-3</v>
      </c>
    </row>
    <row r="52" spans="1:11" ht="12.75" x14ac:dyDescent="0.35">
      <c r="A52" s="133">
        <v>48</v>
      </c>
      <c r="B52" s="137">
        <v>0.03</v>
      </c>
      <c r="C52" s="137">
        <v>0.22</v>
      </c>
      <c r="D52" s="136">
        <f t="shared" si="0"/>
        <v>4.3200000000000001E-3</v>
      </c>
      <c r="E52" s="158">
        <f>E49-(3*(E49-E54)/5)</f>
        <v>225.6</v>
      </c>
      <c r="J52" s="135">
        <v>4.0000000000000001E-3</v>
      </c>
      <c r="K52">
        <f t="shared" si="1"/>
        <v>4.3200000000000001E-3</v>
      </c>
    </row>
    <row r="53" spans="1:11" ht="12.75" x14ac:dyDescent="0.35">
      <c r="A53" s="133">
        <v>49</v>
      </c>
      <c r="B53" s="137">
        <v>0.03</v>
      </c>
      <c r="C53" s="137">
        <v>0.22</v>
      </c>
      <c r="D53" s="136">
        <f t="shared" si="0"/>
        <v>4.3200000000000001E-3</v>
      </c>
      <c r="E53" s="158">
        <f>E49-(4*(E49-E54)/5)</f>
        <v>226.8</v>
      </c>
      <c r="J53" s="135">
        <v>4.0000000000000001E-3</v>
      </c>
      <c r="K53">
        <f t="shared" si="1"/>
        <v>4.3200000000000001E-3</v>
      </c>
    </row>
    <row r="54" spans="1:11" s="166" customFormat="1" ht="13.15" x14ac:dyDescent="0.4">
      <c r="A54" s="141">
        <v>50</v>
      </c>
      <c r="B54" s="142">
        <v>0.03</v>
      </c>
      <c r="C54" s="142">
        <v>0.22</v>
      </c>
      <c r="D54" s="143">
        <f t="shared" si="0"/>
        <v>4.3200000000000001E-3</v>
      </c>
      <c r="E54" s="157">
        <v>228</v>
      </c>
      <c r="F54" s="172"/>
      <c r="J54" s="167">
        <v>4.0000000000000001E-3</v>
      </c>
      <c r="K54" s="166">
        <f t="shared" si="1"/>
        <v>4.3200000000000001E-3</v>
      </c>
    </row>
    <row r="55" spans="1:11" ht="12.75" x14ac:dyDescent="0.35">
      <c r="A55" s="133">
        <v>51</v>
      </c>
      <c r="B55" s="137">
        <v>0.03</v>
      </c>
      <c r="C55" s="137">
        <v>0.22</v>
      </c>
      <c r="D55" s="136">
        <f t="shared" si="0"/>
        <v>4.3200000000000001E-3</v>
      </c>
      <c r="E55" s="158">
        <f>E54-((E54-E59)/5)</f>
        <v>230</v>
      </c>
      <c r="J55" s="135">
        <v>4.0000000000000001E-3</v>
      </c>
      <c r="K55">
        <f t="shared" si="1"/>
        <v>4.3200000000000001E-3</v>
      </c>
    </row>
    <row r="56" spans="1:11" ht="12.75" x14ac:dyDescent="0.35">
      <c r="A56" s="133">
        <v>52</v>
      </c>
      <c r="B56" s="137">
        <v>0.03</v>
      </c>
      <c r="C56" s="137">
        <v>0.22</v>
      </c>
      <c r="D56" s="136">
        <f t="shared" si="0"/>
        <v>4.3200000000000001E-3</v>
      </c>
      <c r="E56" s="158">
        <f>E54-(2*(E54-E59)/5)</f>
        <v>232</v>
      </c>
      <c r="J56" s="135">
        <v>4.0000000000000001E-3</v>
      </c>
      <c r="K56">
        <f t="shared" si="1"/>
        <v>4.3200000000000001E-3</v>
      </c>
    </row>
    <row r="57" spans="1:11" ht="12.75" x14ac:dyDescent="0.35">
      <c r="A57" s="133">
        <v>53</v>
      </c>
      <c r="B57" s="137">
        <v>0.03</v>
      </c>
      <c r="C57" s="137">
        <v>0.22</v>
      </c>
      <c r="D57" s="136">
        <f t="shared" si="0"/>
        <v>4.3200000000000001E-3</v>
      </c>
      <c r="E57" s="158">
        <f>E54-(3*(E54-E59)/5)</f>
        <v>234</v>
      </c>
      <c r="J57" s="135">
        <v>4.0000000000000001E-3</v>
      </c>
      <c r="K57">
        <f t="shared" si="1"/>
        <v>4.3200000000000001E-3</v>
      </c>
    </row>
    <row r="58" spans="1:11" ht="12.75" x14ac:dyDescent="0.35">
      <c r="A58" s="133">
        <v>54</v>
      </c>
      <c r="B58" s="137">
        <v>0.03</v>
      </c>
      <c r="C58" s="137">
        <v>0.22</v>
      </c>
      <c r="D58" s="136">
        <f t="shared" si="0"/>
        <v>4.3200000000000001E-3</v>
      </c>
      <c r="E58" s="158">
        <f>E54-(4*(E54-E59)/5)</f>
        <v>236</v>
      </c>
      <c r="J58" s="135">
        <v>4.0000000000000001E-3</v>
      </c>
      <c r="K58">
        <f t="shared" si="1"/>
        <v>4.3200000000000001E-3</v>
      </c>
    </row>
    <row r="59" spans="1:11" s="166" customFormat="1" ht="13.15" x14ac:dyDescent="0.4">
      <c r="A59" s="141">
        <v>55</v>
      </c>
      <c r="B59" s="142">
        <v>0.03</v>
      </c>
      <c r="C59" s="142">
        <v>0.22</v>
      </c>
      <c r="D59" s="143">
        <f t="shared" si="0"/>
        <v>4.3200000000000001E-3</v>
      </c>
      <c r="E59" s="157">
        <v>238</v>
      </c>
      <c r="F59" s="172"/>
      <c r="J59" s="167">
        <v>4.0000000000000001E-3</v>
      </c>
      <c r="K59" s="166">
        <f t="shared" si="1"/>
        <v>4.3200000000000001E-3</v>
      </c>
    </row>
    <row r="60" spans="1:11" ht="12.75" x14ac:dyDescent="0.35">
      <c r="A60" s="133">
        <v>56</v>
      </c>
      <c r="B60" s="137">
        <v>0.03</v>
      </c>
      <c r="C60" s="137">
        <v>0.22</v>
      </c>
      <c r="D60" s="136">
        <f t="shared" si="0"/>
        <v>4.3200000000000001E-3</v>
      </c>
      <c r="E60" s="158">
        <f>E59-((E59-E64)/5)</f>
        <v>239.8</v>
      </c>
      <c r="J60" s="135">
        <v>4.0000000000000001E-3</v>
      </c>
      <c r="K60">
        <f t="shared" si="1"/>
        <v>4.3200000000000001E-3</v>
      </c>
    </row>
    <row r="61" spans="1:11" ht="12.75" x14ac:dyDescent="0.35">
      <c r="A61" s="133">
        <v>57</v>
      </c>
      <c r="B61" s="137">
        <v>0.03</v>
      </c>
      <c r="C61" s="137">
        <v>0.23</v>
      </c>
      <c r="D61" s="136">
        <f t="shared" si="0"/>
        <v>4.3200000000000001E-3</v>
      </c>
      <c r="E61" s="158">
        <f>E59-(2*(E59-E64)/5)</f>
        <v>241.6</v>
      </c>
      <c r="J61" s="135">
        <v>4.0000000000000001E-3</v>
      </c>
      <c r="K61">
        <f t="shared" si="1"/>
        <v>4.3200000000000001E-3</v>
      </c>
    </row>
    <row r="62" spans="1:11" ht="12.75" x14ac:dyDescent="0.35">
      <c r="A62" s="133">
        <v>58</v>
      </c>
      <c r="B62" s="137">
        <v>0.03</v>
      </c>
      <c r="C62" s="137">
        <v>0.23</v>
      </c>
      <c r="D62" s="136">
        <f t="shared" si="0"/>
        <v>4.3200000000000001E-3</v>
      </c>
      <c r="E62" s="158">
        <f>E59-(3*(E59-E64)/5)</f>
        <v>243.4</v>
      </c>
      <c r="J62" s="135">
        <v>4.0000000000000001E-3</v>
      </c>
      <c r="K62">
        <f t="shared" si="1"/>
        <v>4.3200000000000001E-3</v>
      </c>
    </row>
    <row r="63" spans="1:11" ht="12.75" x14ac:dyDescent="0.35">
      <c r="A63" s="133">
        <v>59</v>
      </c>
      <c r="B63" s="137">
        <v>0.03</v>
      </c>
      <c r="C63" s="137">
        <v>0.23</v>
      </c>
      <c r="D63" s="136">
        <f t="shared" si="0"/>
        <v>4.3200000000000001E-3</v>
      </c>
      <c r="E63" s="158">
        <f>E59-(4*(E59-E64)/5)</f>
        <v>245.2</v>
      </c>
      <c r="J63" s="135">
        <v>4.0000000000000001E-3</v>
      </c>
      <c r="K63">
        <f t="shared" si="1"/>
        <v>4.3200000000000001E-3</v>
      </c>
    </row>
    <row r="64" spans="1:11" s="166" customFormat="1" ht="13.15" x14ac:dyDescent="0.4">
      <c r="A64" s="141">
        <v>60</v>
      </c>
      <c r="B64" s="142">
        <v>0.03</v>
      </c>
      <c r="C64" s="142">
        <v>0.23</v>
      </c>
      <c r="D64" s="143">
        <f t="shared" si="0"/>
        <v>5.4000000000000003E-3</v>
      </c>
      <c r="E64" s="157">
        <v>247</v>
      </c>
      <c r="F64" s="172"/>
      <c r="J64" s="167">
        <v>5.0000000000000001E-3</v>
      </c>
      <c r="K64" s="166">
        <f t="shared" si="1"/>
        <v>5.4000000000000003E-3</v>
      </c>
    </row>
    <row r="65" spans="1:12" ht="12.75" x14ac:dyDescent="0.35">
      <c r="A65" s="133">
        <v>61</v>
      </c>
      <c r="B65" s="137">
        <v>0.03</v>
      </c>
      <c r="C65" s="137">
        <v>0.24</v>
      </c>
      <c r="D65" s="136">
        <f t="shared" si="0"/>
        <v>5.4000000000000003E-3</v>
      </c>
      <c r="E65" s="158">
        <f>E64-((E64-E69)/5)</f>
        <v>248.8</v>
      </c>
      <c r="J65" s="135">
        <v>5.0000000000000001E-3</v>
      </c>
      <c r="K65">
        <f t="shared" si="1"/>
        <v>5.4000000000000003E-3</v>
      </c>
    </row>
    <row r="66" spans="1:12" ht="12.75" x14ac:dyDescent="0.35">
      <c r="A66" s="133">
        <v>62</v>
      </c>
      <c r="B66" s="137">
        <v>0.03</v>
      </c>
      <c r="C66" s="137">
        <v>0.24</v>
      </c>
      <c r="D66" s="136">
        <f t="shared" si="0"/>
        <v>5.4000000000000003E-3</v>
      </c>
      <c r="E66" s="158">
        <f>E64-(2*(E64-E69)/5)</f>
        <v>250.6</v>
      </c>
      <c r="J66" s="135">
        <v>5.0000000000000001E-3</v>
      </c>
      <c r="K66">
        <f t="shared" si="1"/>
        <v>5.4000000000000003E-3</v>
      </c>
    </row>
    <row r="67" spans="1:12" ht="12.75" x14ac:dyDescent="0.35">
      <c r="A67" s="133">
        <v>63</v>
      </c>
      <c r="B67" s="137">
        <v>0.03</v>
      </c>
      <c r="C67" s="137">
        <v>0.25</v>
      </c>
      <c r="D67" s="136">
        <f t="shared" si="0"/>
        <v>5.4000000000000003E-3</v>
      </c>
      <c r="E67" s="158">
        <f>E64-(3*(E64-E69)/5)</f>
        <v>252.4</v>
      </c>
      <c r="J67" s="135">
        <v>5.0000000000000001E-3</v>
      </c>
      <c r="K67">
        <f t="shared" si="1"/>
        <v>5.4000000000000003E-3</v>
      </c>
    </row>
    <row r="68" spans="1:12" ht="12.75" x14ac:dyDescent="0.35">
      <c r="A68" s="133">
        <v>64</v>
      </c>
      <c r="B68" s="137">
        <v>0.03</v>
      </c>
      <c r="C68" s="137">
        <v>0.25</v>
      </c>
      <c r="D68" s="136">
        <f t="shared" si="0"/>
        <v>5.4000000000000003E-3</v>
      </c>
      <c r="E68" s="158">
        <f>E64-(4*(E64-E69)/5)</f>
        <v>254.2</v>
      </c>
      <c r="J68" s="135">
        <v>5.0000000000000001E-3</v>
      </c>
      <c r="K68">
        <f t="shared" si="1"/>
        <v>5.4000000000000003E-3</v>
      </c>
    </row>
    <row r="69" spans="1:12" s="166" customFormat="1" ht="13.5" thickBot="1" x14ac:dyDescent="0.45">
      <c r="A69" s="144">
        <v>65</v>
      </c>
      <c r="B69" s="142">
        <v>0.03</v>
      </c>
      <c r="C69" s="142">
        <v>0.26</v>
      </c>
      <c r="D69" s="145">
        <f t="shared" si="0"/>
        <v>5.4000000000000003E-3</v>
      </c>
      <c r="E69" s="159">
        <v>256</v>
      </c>
      <c r="F69" s="172"/>
      <c r="J69" s="167">
        <v>5.0000000000000001E-3</v>
      </c>
      <c r="K69" s="166">
        <f t="shared" si="1"/>
        <v>5.4000000000000003E-3</v>
      </c>
    </row>
    <row r="70" spans="1:12" ht="12.75" x14ac:dyDescent="0.35">
      <c r="A70" s="112"/>
      <c r="B70" s="114"/>
      <c r="C70" s="114"/>
      <c r="D70" s="114"/>
      <c r="E70" s="113"/>
    </row>
    <row r="71" spans="1:12" x14ac:dyDescent="0.35">
      <c r="A71" s="120" t="s">
        <v>6</v>
      </c>
      <c r="B71" s="121"/>
      <c r="C71" s="121"/>
      <c r="D71" s="121"/>
      <c r="E71" s="121"/>
      <c r="F71" s="173"/>
      <c r="G71" s="121"/>
      <c r="H71" s="121"/>
      <c r="I71" s="121"/>
      <c r="J71" s="121"/>
      <c r="K71" s="121"/>
      <c r="L71" s="121"/>
    </row>
    <row r="72" spans="1:12" x14ac:dyDescent="0.35">
      <c r="A72" t="s">
        <v>99</v>
      </c>
    </row>
    <row r="73" spans="1:12" x14ac:dyDescent="0.35">
      <c r="A73" t="s">
        <v>90</v>
      </c>
    </row>
    <row r="75" spans="1:12" x14ac:dyDescent="0.35">
      <c r="A75" s="155" t="s">
        <v>105</v>
      </c>
      <c r="B75" s="132"/>
    </row>
    <row r="76" spans="1:12" x14ac:dyDescent="0.35">
      <c r="A76" s="155" t="s">
        <v>94</v>
      </c>
      <c r="B76" s="132"/>
    </row>
    <row r="77" spans="1:12" x14ac:dyDescent="0.35">
      <c r="A77" s="121"/>
      <c r="B77" s="121"/>
      <c r="C77" s="121"/>
      <c r="D77" s="121"/>
      <c r="E77" s="121"/>
      <c r="F77" s="173"/>
      <c r="G77" s="121"/>
      <c r="H77" s="121"/>
      <c r="I77" s="121"/>
      <c r="J77" s="121"/>
      <c r="K77" s="121"/>
      <c r="L77" s="121"/>
    </row>
    <row r="78" spans="1:12" x14ac:dyDescent="0.35">
      <c r="A78" s="121"/>
      <c r="B78" s="121"/>
      <c r="C78" s="121"/>
      <c r="D78" s="121"/>
      <c r="E78" s="121"/>
      <c r="F78" s="173"/>
      <c r="G78" s="121"/>
      <c r="H78" s="121"/>
      <c r="I78" s="121"/>
      <c r="J78" s="121"/>
      <c r="K78" s="121"/>
      <c r="L78" s="121"/>
    </row>
    <row r="79" spans="1:12" x14ac:dyDescent="0.35">
      <c r="A79" s="121"/>
    </row>
    <row r="80" spans="1:12" x14ac:dyDescent="0.35">
      <c r="A80" s="121"/>
    </row>
    <row r="84" spans="1:1" x14ac:dyDescent="0.35">
      <c r="A84" s="115"/>
    </row>
  </sheetData>
  <sheetProtection algorithmName="SHA-512" hashValue="x5ubi+hFPWeaBenuXL3Z64XLaG1Xn4uBDpj7c1ZhUs0VrskAs0RjiTZ38suYm+gjbNLNAnx2tRxTRMPq3JxztQ==" saltValue="dYY5yd17lSDzqUtM4TY/dA==" spinCount="100000" sheet="1" objects="1" scenarios="1"/>
  <phoneticPr fontId="18" type="noConversion"/>
  <pageMargins left="0.75" right="0.75" top="1" bottom="1" header="0.5" footer="0.5"/>
  <pageSetup scale="76" fitToHeight="0" orientation="portrait" r:id="rId1"/>
  <headerFooter alignWithMargins="0"/>
  <customProperties>
    <customPr name="fbd6e4712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40</vt:i4>
      </vt:variant>
    </vt:vector>
  </HeadingPairs>
  <TitlesOfParts>
    <vt:vector size="45" baseType="lpstr">
      <vt:lpstr>Instructions</vt:lpstr>
      <vt:lpstr>Gen'l Info</vt:lpstr>
      <vt:lpstr>CE Calc</vt:lpstr>
      <vt:lpstr>Notes &amp; Assumptions</vt:lpstr>
      <vt:lpstr>Emission Factors</vt:lpstr>
      <vt:lpstr>Annual_CO2_Emissions</vt:lpstr>
      <vt:lpstr>Annual_Emission_Reductions_ROG_NOx_PM</vt:lpstr>
      <vt:lpstr>Annual_NOx_Emissions</vt:lpstr>
      <vt:lpstr>Annual_PM_Emissions</vt:lpstr>
      <vt:lpstr>Annual_ROG_Emissions</vt:lpstr>
      <vt:lpstr>Annual_Trips_Reduced</vt:lpstr>
      <vt:lpstr>Annual_VMT_Reduction</vt:lpstr>
      <vt:lpstr>Annual_Weighted_PM_Emissions</vt:lpstr>
      <vt:lpstr>Avg._Vehicle_Trip_Length</vt:lpstr>
      <vt:lpstr>Disadvantaged_Community_Points</vt:lpstr>
      <vt:lpstr>Lifetime_CO2_Emissions</vt:lpstr>
      <vt:lpstr>Lifetime_Emission_Reductions_ROG_NOx_PM</vt:lpstr>
      <vt:lpstr>Lifetime_NOx_Emissions</vt:lpstr>
      <vt:lpstr>Lifetime_PM_Emissions</vt:lpstr>
      <vt:lpstr>Lifetime_ROG_Emissions</vt:lpstr>
      <vt:lpstr>Lifetime_Trips_Reduced</vt:lpstr>
      <vt:lpstr>Lifetime_VMT_Reduction</vt:lpstr>
      <vt:lpstr>Lifetime_Weighted_PM_Emissions</vt:lpstr>
      <vt:lpstr>Local_Clean_Air_Planning_Points</vt:lpstr>
      <vt:lpstr>Other_Project_Attributes_Points</vt:lpstr>
      <vt:lpstr>'CE Calc'!Print_Area</vt:lpstr>
      <vt:lpstr>Instructions!Print_Area</vt:lpstr>
      <vt:lpstr>Project_Sponsor_City</vt:lpstr>
      <vt:lpstr>Project_Sponsor_City_Zip</vt:lpstr>
      <vt:lpstr>Project_Sponsor_Email</vt:lpstr>
      <vt:lpstr>Project_Sponsor_Zip</vt:lpstr>
      <vt:lpstr>Project_Sponsor_Zip_Code</vt:lpstr>
      <vt:lpstr>Project_Type_Code</vt:lpstr>
      <vt:lpstr>Promote_Alternative_Transportation_Modes</vt:lpstr>
      <vt:lpstr>Public_Private</vt:lpstr>
      <vt:lpstr>TFCA_Cost_40_Percent</vt:lpstr>
      <vt:lpstr>TFCA_Cost_60_Percent</vt:lpstr>
      <vt:lpstr>TFCA_Cost_Effectiveness</vt:lpstr>
      <vt:lpstr>TFCA_Funding_Effectiveness_Points</vt:lpstr>
      <vt:lpstr>TFCA_Weighted_Cost_Effectiveness</vt:lpstr>
      <vt:lpstr>Total_Cost_Effectiveness</vt:lpstr>
      <vt:lpstr>Total_Points</vt:lpstr>
      <vt:lpstr>Total_Project_Cost</vt:lpstr>
      <vt:lpstr>Total_TFCA_Cost</vt:lpstr>
      <vt:lpstr>Yrs_Effectiveness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Hui</dc:creator>
  <cp:lastModifiedBy>Author</cp:lastModifiedBy>
  <cp:lastPrinted>2014-12-19T23:53:11Z</cp:lastPrinted>
  <dcterms:created xsi:type="dcterms:W3CDTF">1999-01-19T19:08:01Z</dcterms:created>
  <dcterms:modified xsi:type="dcterms:W3CDTF">2023-02-06T16:57:36Z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el_type">
    <vt:lpwstr>GrantRequest</vt:lpwstr>
  </property>
  <property fmtid="{D5CDD505-2E9C-101B-9397-08002B2CF9AE}" pid="3" name="hd943e9f2">
    <vt:lpwstr>{"st":1,"snapHeaders":true,"column":1,"row":1,"isHeaderVisible":true}</vt:lpwstr>
  </property>
  <property fmtid="{D5CDD505-2E9C-101B-9397-08002B2CF9AE}" pid="4" name="hf53a6af9">
    <vt:lpwstr>{"st":2,"snapHeaders":true,"column":1,"row":1,"isHeaderVisible":true}</vt:lpwstr>
  </property>
  <property fmtid="{D5CDD505-2E9C-101B-9397-08002B2CF9AE}" pid="5" name="h7bae8932">
    <vt:lpwstr>{"st":3,"snapHeaders":true,"column":1,"row":1,"isHeaderVisible":true}</vt:lpwstr>
  </property>
  <property fmtid="{D5CDD505-2E9C-101B-9397-08002B2CF9AE}" pid="6" name="h368f0114">
    <vt:lpwstr>{"st":4,"snapHeaders":true,"column":1,"row":1,"isHeaderVisible":true}</vt:lpwstr>
  </property>
  <property fmtid="{D5CDD505-2E9C-101B-9397-08002B2CF9AE}" pid="7" name="hbd6e4712">
    <vt:lpwstr>{"st":5,"snapHeaders":true,"column":1,"row":1,"isHeaderVisible":true}</vt:lpwstr>
  </property>
  <property fmtid="{D5CDD505-2E9C-101B-9397-08002B2CF9AE}" pid="8" name="version">
    <vt:lpwstr>33.1.0</vt:lpwstr>
  </property>
</Properties>
</file>