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\\cifs-02\sections\Env_Rev\Grant Programs\TFCA PROGRAM\WORKSHTS\EXCEL\2020\County Program Manager\"/>
    </mc:Choice>
  </mc:AlternateContent>
  <xr:revisionPtr revIDLastSave="0" documentId="13_ncr:1_{36E22DA5-1A7C-4129-9497-2A800B3C2454}" xr6:coauthVersionLast="40" xr6:coauthVersionMax="40" xr10:uidLastSave="{00000000-0000-0000-0000-000000000000}"/>
  <bookViews>
    <workbookView xWindow="40920" yWindow="-120" windowWidth="29040" windowHeight="17640" tabRatio="746" xr2:uid="{00000000-000D-0000-FFFF-FFFF00000000}"/>
  </bookViews>
  <sheets>
    <sheet name="Instructions" sheetId="6" r:id="rId1"/>
    <sheet name="Gen'l Info" sheetId="5" r:id="rId2"/>
    <sheet name="Calcs" sheetId="1" r:id="rId3"/>
    <sheet name="Notes &amp; Assumptions" sheetId="4" r:id="rId4"/>
    <sheet name="Emission Factors" sheetId="3" r:id="rId5"/>
  </sheets>
  <definedNames>
    <definedName name="Annual_CO2_Emissions">Calcs!$G$37</definedName>
    <definedName name="Annual_Emission_Reductions_ROG_NOx_PM">Calcs!$G$38</definedName>
    <definedName name="Annual_Mileage_New_Vehicles">Calcs!#REF!</definedName>
    <definedName name="Annual_NOx_Emissions">Calcs!$G$34</definedName>
    <definedName name="Annual_PM_Emissions">Calcs!$G$35</definedName>
    <definedName name="Annual_ROG_Emissions">Calcs!$G$33</definedName>
    <definedName name="Annual_Trips_Reduced">Calcs!#REF!</definedName>
    <definedName name="Annual_VMT_Reduction">Calcs!#REF!</definedName>
    <definedName name="Annual_Weighted_PM_Emissions">Calcs!$G$36</definedName>
    <definedName name="Application_Number">Calcs!$C$2</definedName>
    <definedName name="BVMT">Calcs!$B$49</definedName>
    <definedName name="BVMTNOxfactor">Calcs!$B$51</definedName>
    <definedName name="BVMTPM10factor">Calcs!$B$52</definedName>
    <definedName name="BVMTROGfactor">Calcs!$B$50</definedName>
    <definedName name="CoFund">Calcs!$B$48</definedName>
    <definedName name="Cost_Effectiveness_Points">Calcs!#REF!</definedName>
    <definedName name="Disadvantaged_Community_Points">Calcs!$R$35</definedName>
    <definedName name="Final_Report_Date_CMA">Calcs!#REF!</definedName>
    <definedName name="Incremental_Cost">#REF!</definedName>
    <definedName name="Lifetime_CO2_Emissions">Calcs!$H$37</definedName>
    <definedName name="Lifetime_Emission_Reductions_ROG_NOx_PM">Calcs!$H$38</definedName>
    <definedName name="Lifetime_NOx_Emissions">Calcs!$H$34</definedName>
    <definedName name="Lifetime_NOx_Emissions_Plus_Scrap_Credit">Calcs!#REF!</definedName>
    <definedName name="Lifetime_PM_Emissions">Calcs!$H$35</definedName>
    <definedName name="Lifetime_ROG_Emissions">Calcs!$H$33</definedName>
    <definedName name="Lifetime_ROG_Emissions_Plus_Scrap_Credit">Calcs!#REF!</definedName>
    <definedName name="Lifetime_Trips_Reduced">Calcs!#REF!</definedName>
    <definedName name="Lifetime_VMT_Reduction">Calcs!#REF!</definedName>
    <definedName name="Lifetime_Weighted_PM_Emissions">Calcs!$H$36</definedName>
    <definedName name="Lifetime_Weighted_PM_Emissions_Plus_Scrap_Credit">Calcs!#REF!</definedName>
    <definedName name="Local_Clean_Air_Planning_Points">Calcs!$R$34</definedName>
    <definedName name="New_Vehicle_NOx_Emission_Factor__gr_yr">Calcs!#REF!</definedName>
    <definedName name="New_Vehicle_PM_Emission_Factor__gr_mi">Calcs!$C$48</definedName>
    <definedName name="New_Vehicle_ROG_Emission_Factor__gr_yr">Calcs!#REF!</definedName>
    <definedName name="NOx_Emis_Reductions_from_HD_Vehicles">Calcs!#REF!</definedName>
    <definedName name="Number_New_Vehicles_Purchased">Calcs!#REF!</definedName>
    <definedName name="Number_of_New_Vehicles">Calcs!#REF!</definedName>
    <definedName name="Number_Vehicles_Repowered">Calcs!#REF!</definedName>
    <definedName name="Number_Vehicles_Required_Scrapped">Calcs!#REF!</definedName>
    <definedName name="Number_Vehicles_Retrofit">Calcs!#REF!</definedName>
    <definedName name="Number_Vehicles_Voluntarily_Scrapped">Calcs!#REF!</definedName>
    <definedName name="Other_Project_Attributes_Points">Calcs!$R$33</definedName>
    <definedName name="Percent_Vehicles_Scrapped">Calcs!$H$7</definedName>
    <definedName name="PM_Emis_Reductions_from_HD_Vehicles">Calcs!#REF!</definedName>
    <definedName name="_xlnm.Print_Area" localSheetId="2">Calcs!$A$1:$AX$40</definedName>
    <definedName name="_xlnm.Print_Area" localSheetId="4">'Emission Factors'!$A$1:$J$175</definedName>
    <definedName name="_xlnm.Print_Area" localSheetId="0">Instructions!$A$1:$L$60</definedName>
    <definedName name="Project_Sponsor">Calcs!$C$4</definedName>
    <definedName name="Project_Sponsor_Address">Calcs!#REF!</definedName>
    <definedName name="Project_Sponsor_City">Calcs!#REF!</definedName>
    <definedName name="Project_Sponsor_City_Zip">#REF!</definedName>
    <definedName name="Project_Sponsor_Contact">Calcs!#REF!</definedName>
    <definedName name="Project_Sponsor_County">Calcs!#REF!</definedName>
    <definedName name="Project_Sponsor_Email">Calcs!#REF!</definedName>
    <definedName name="Project_Sponsor_Phone_Number">Calcs!#REF!</definedName>
    <definedName name="Project_Sponsor_Zip_Code">Calcs!#REF!</definedName>
    <definedName name="Project_Start_Date">Calcs!#REF!</definedName>
    <definedName name="Project_Title">Calcs!$C$3</definedName>
    <definedName name="Project_Type_Code">Calcs!$C$6</definedName>
    <definedName name="Promote_Alternative_Transportation_Modes">Calcs!$R$37</definedName>
    <definedName name="Ratio_Scrapped_HDV_to_New">Calcs!#REF!</definedName>
    <definedName name="ROG_Emis_Reductions_from_HD_Vehicles">Calcs!#REF!</definedName>
    <definedName name="Scrap_Benefit_Percent">Calcs!$N$7</definedName>
    <definedName name="Scrapping_Required">Calcs!#REF!</definedName>
    <definedName name="Scrapping_Voluntarily">Calcs!#REF!</definedName>
    <definedName name="TFCA_Cost_40_Percent">Calcs!$K$4</definedName>
    <definedName name="TFCA_Cost_60_Percent">Calcs!$K$5</definedName>
    <definedName name="TFCA_Cost_Effectiveness">Calcs!$H$39</definedName>
    <definedName name="TFCA_Funding_Effectiveness_Points">Calcs!#REF!</definedName>
    <definedName name="TFCA_Weighted_Cost_Effectiveness">Calcs!#REF!</definedName>
    <definedName name="Total_New_EVs">Calcs!#REF!</definedName>
    <definedName name="Total_Number_Vehicles_Scrapped">Calcs!$D$7</definedName>
    <definedName name="Total_Points">Calcs!$R$38</definedName>
    <definedName name="Total_Project_Cost">Calcs!$K$3</definedName>
    <definedName name="Total_TFCA_Cost">Calcs!$K$6</definedName>
    <definedName name="Yrs_Effectiveness">Calcs!$K$2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AF14" i="1" l="1"/>
  <c r="AF15" i="1"/>
  <c r="AG14" i="1"/>
  <c r="AE14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E16" i="1"/>
  <c r="AQ16" i="1" s="1"/>
  <c r="AE17" i="1"/>
  <c r="AE18" i="1"/>
  <c r="AE19" i="1"/>
  <c r="AE20" i="1"/>
  <c r="AE21" i="1"/>
  <c r="AE22" i="1"/>
  <c r="AE23" i="1"/>
  <c r="AE24" i="1"/>
  <c r="AQ24" i="1" s="1"/>
  <c r="AE25" i="1"/>
  <c r="AE26" i="1"/>
  <c r="AE27" i="1"/>
  <c r="AE28" i="1"/>
  <c r="AQ28" i="1" s="1"/>
  <c r="AE29" i="1"/>
  <c r="AG15" i="1"/>
  <c r="AE15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14" i="1"/>
  <c r="AD17" i="1"/>
  <c r="AD15" i="1"/>
  <c r="AD16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C17" i="1"/>
  <c r="AC15" i="1"/>
  <c r="AC16" i="1"/>
  <c r="AC18" i="1"/>
  <c r="AC19" i="1"/>
  <c r="AC20" i="1"/>
  <c r="AC21" i="1"/>
  <c r="AC22" i="1"/>
  <c r="AC23" i="1"/>
  <c r="AC24" i="1"/>
  <c r="AP24" i="1" s="1"/>
  <c r="AR24" i="1" s="1"/>
  <c r="AC25" i="1"/>
  <c r="AC26" i="1"/>
  <c r="AC27" i="1"/>
  <c r="AC28" i="1"/>
  <c r="AC29" i="1"/>
  <c r="AB17" i="1"/>
  <c r="AB15" i="1"/>
  <c r="AB16" i="1"/>
  <c r="AB18" i="1"/>
  <c r="AB19" i="1"/>
  <c r="AB20" i="1"/>
  <c r="AB21" i="1"/>
  <c r="AP21" i="1" s="1"/>
  <c r="AR21" i="1" s="1"/>
  <c r="AB22" i="1"/>
  <c r="AB23" i="1"/>
  <c r="AB24" i="1"/>
  <c r="AB25" i="1"/>
  <c r="AP25" i="1" s="1"/>
  <c r="AR25" i="1" s="1"/>
  <c r="AB26" i="1"/>
  <c r="AB27" i="1"/>
  <c r="AB28" i="1"/>
  <c r="AB29" i="1"/>
  <c r="AP29" i="1" s="1"/>
  <c r="AR29" i="1" s="1"/>
  <c r="AX16" i="1"/>
  <c r="AX15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14" i="1"/>
  <c r="Z15" i="1"/>
  <c r="Z16" i="1"/>
  <c r="Z17" i="1"/>
  <c r="Z18" i="1"/>
  <c r="Z19" i="1"/>
  <c r="Z20" i="1"/>
  <c r="Z21" i="1"/>
  <c r="Z22" i="1"/>
  <c r="AH22" i="1" s="1"/>
  <c r="Z23" i="1"/>
  <c r="Z24" i="1"/>
  <c r="Z25" i="1"/>
  <c r="Z26" i="1"/>
  <c r="Z27" i="1"/>
  <c r="Z28" i="1"/>
  <c r="Z29" i="1"/>
  <c r="Z14" i="1"/>
  <c r="AM30" i="1"/>
  <c r="AA28" i="1"/>
  <c r="AO28" i="1" s="1"/>
  <c r="AA19" i="1"/>
  <c r="AA20" i="1"/>
  <c r="AN20" i="1" s="1"/>
  <c r="AA21" i="1"/>
  <c r="AA22" i="1"/>
  <c r="AA23" i="1"/>
  <c r="AA24" i="1"/>
  <c r="AI24" i="1" s="1"/>
  <c r="AA25" i="1"/>
  <c r="AA26" i="1"/>
  <c r="AB14" i="1"/>
  <c r="AD14" i="1"/>
  <c r="AA14" i="1"/>
  <c r="AA15" i="1"/>
  <c r="AA16" i="1"/>
  <c r="AA17" i="1"/>
  <c r="AH17" i="1" s="1"/>
  <c r="AA18" i="1"/>
  <c r="AA27" i="1"/>
  <c r="AA29" i="1"/>
  <c r="AJ14" i="1"/>
  <c r="AI22" i="1"/>
  <c r="AO24" i="1" l="1"/>
  <c r="AN29" i="1"/>
  <c r="AH14" i="1"/>
  <c r="AH25" i="1"/>
  <c r="AP28" i="1"/>
  <c r="AR28" i="1" s="1"/>
  <c r="AN18" i="1"/>
  <c r="AQ15" i="1"/>
  <c r="AO21" i="1"/>
  <c r="AK17" i="1"/>
  <c r="AK14" i="1"/>
  <c r="AH16" i="1"/>
  <c r="AP27" i="1"/>
  <c r="AR27" i="1" s="1"/>
  <c r="AQ22" i="1"/>
  <c r="AQ18" i="1"/>
  <c r="AN27" i="1"/>
  <c r="AN15" i="1"/>
  <c r="AO26" i="1"/>
  <c r="AH24" i="1"/>
  <c r="AN25" i="1"/>
  <c r="AN21" i="1"/>
  <c r="AP23" i="1"/>
  <c r="AR23" i="1" s="1"/>
  <c r="AK27" i="1"/>
  <c r="AO19" i="1"/>
  <c r="AK24" i="1"/>
  <c r="AK21" i="1"/>
  <c r="AN22" i="1"/>
  <c r="AJ22" i="1"/>
  <c r="AP19" i="1"/>
  <c r="AR19" i="1" s="1"/>
  <c r="AN17" i="1"/>
  <c r="AN26" i="1"/>
  <c r="AK26" i="1"/>
  <c r="AH20" i="1"/>
  <c r="AI23" i="1"/>
  <c r="AI15" i="1"/>
  <c r="AN24" i="1"/>
  <c r="AH29" i="1"/>
  <c r="AQ29" i="1"/>
  <c r="AJ24" i="1"/>
  <c r="AX30" i="1"/>
  <c r="J37" i="1" s="1"/>
  <c r="K37" i="1" s="1"/>
  <c r="AP22" i="1"/>
  <c r="AR22" i="1" s="1"/>
  <c r="AN14" i="1"/>
  <c r="AQ23" i="1"/>
  <c r="AO18" i="1"/>
  <c r="AK18" i="1"/>
  <c r="AO14" i="1"/>
  <c r="AH28" i="1"/>
  <c r="AJ26" i="1"/>
  <c r="AP18" i="1"/>
  <c r="AR18" i="1" s="1"/>
  <c r="AQ25" i="1"/>
  <c r="AQ21" i="1"/>
  <c r="AQ17" i="1"/>
  <c r="AK28" i="1"/>
  <c r="AK16" i="1"/>
  <c r="AJ27" i="1"/>
  <c r="AJ17" i="1"/>
  <c r="AU30" i="1"/>
  <c r="G37" i="1" s="1"/>
  <c r="H37" i="1" s="1"/>
  <c r="AQ14" i="1"/>
  <c r="AK23" i="1"/>
  <c r="AO17" i="1"/>
  <c r="AP14" i="1"/>
  <c r="AR14" i="1" s="1"/>
  <c r="AR30" i="1" s="1"/>
  <c r="AJ23" i="1"/>
  <c r="AI27" i="1"/>
  <c r="AI21" i="1"/>
  <c r="AH18" i="1"/>
  <c r="AP26" i="1"/>
  <c r="AR26" i="1" s="1"/>
  <c r="AJ16" i="1"/>
  <c r="AJ28" i="1"/>
  <c r="AH21" i="1"/>
  <c r="AK15" i="1"/>
  <c r="AD30" i="1"/>
  <c r="G35" i="1" s="1"/>
  <c r="H35" i="1" s="1"/>
  <c r="AO27" i="1"/>
  <c r="AI26" i="1"/>
  <c r="AQ27" i="1"/>
  <c r="AI29" i="1"/>
  <c r="AQ26" i="1"/>
  <c r="AO25" i="1"/>
  <c r="AI19" i="1"/>
  <c r="AH23" i="1"/>
  <c r="AI17" i="1"/>
  <c r="AJ25" i="1"/>
  <c r="AJ20" i="1"/>
  <c r="AB30" i="1"/>
  <c r="G34" i="1" s="1"/>
  <c r="H34" i="1" s="1"/>
  <c r="AG30" i="1"/>
  <c r="J35" i="1" s="1"/>
  <c r="K35" i="1" s="1"/>
  <c r="AQ19" i="1"/>
  <c r="AO20" i="1"/>
  <c r="G36" i="1"/>
  <c r="H36" i="1" s="1"/>
  <c r="AP17" i="1"/>
  <c r="AR17" i="1" s="1"/>
  <c r="AJ21" i="1"/>
  <c r="AK19" i="1"/>
  <c r="AN19" i="1"/>
  <c r="AI25" i="1"/>
  <c r="AF30" i="1"/>
  <c r="J33" i="1" s="1"/>
  <c r="K33" i="1" s="1"/>
  <c r="AH15" i="1"/>
  <c r="AK22" i="1"/>
  <c r="AO29" i="1"/>
  <c r="AI14" i="1"/>
  <c r="AC30" i="1"/>
  <c r="G33" i="1" s="1"/>
  <c r="AQ20" i="1"/>
  <c r="AO16" i="1"/>
  <c r="AO22" i="1"/>
  <c r="AJ19" i="1"/>
  <c r="AJ18" i="1"/>
  <c r="AN16" i="1"/>
  <c r="AN28" i="1"/>
  <c r="AK29" i="1"/>
  <c r="AJ29" i="1"/>
  <c r="AI28" i="1"/>
  <c r="AE30" i="1"/>
  <c r="J34" i="1" s="1"/>
  <c r="K34" i="1" s="1"/>
  <c r="AH26" i="1"/>
  <c r="AK20" i="1"/>
  <c r="AI18" i="1"/>
  <c r="AO15" i="1"/>
  <c r="AI20" i="1"/>
  <c r="AN23" i="1"/>
  <c r="AP20" i="1"/>
  <c r="AR20" i="1" s="1"/>
  <c r="AO23" i="1"/>
  <c r="AP15" i="1"/>
  <c r="AR15" i="1" s="1"/>
  <c r="AH19" i="1"/>
  <c r="AJ15" i="1"/>
  <c r="AK25" i="1"/>
  <c r="AI16" i="1"/>
  <c r="AP16" i="1"/>
  <c r="AR16" i="1" s="1"/>
  <c r="AH27" i="1"/>
  <c r="K38" i="1"/>
  <c r="K39" i="1" l="1"/>
  <c r="J38" i="1"/>
  <c r="J36" i="1"/>
  <c r="K36" i="1" s="1"/>
  <c r="K40" i="1" s="1"/>
  <c r="G38" i="1"/>
  <c r="H33" i="1"/>
  <c r="H40" i="1" l="1"/>
  <c r="H39" i="1"/>
  <c r="H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Hui</author>
    <author>Geraldina Grunbaum</author>
    <author>David Wiley</author>
  </authors>
  <commentList>
    <comment ref="AS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Linda Hui:</t>
        </r>
        <r>
          <rPr>
            <sz val="9"/>
            <color indexed="81"/>
            <rFont val="Tahoma"/>
            <family val="2"/>
          </rPr>
          <t xml:space="preserve">
C02 values are not updated (12/17/2014)</t>
        </r>
      </text>
    </comment>
    <comment ref="A36" authorId="1" shapeId="0" xr:uid="{00000000-0006-0000-0200-000002000000}">
      <text>
        <r>
          <rPr>
            <sz val="8"/>
            <color indexed="81"/>
            <rFont val="Tahoma"/>
            <family val="2"/>
          </rPr>
          <t>Weighted PM 10 means that tailpipe PM emissions have been multiplied by factor of 20, consistent w CARB methodology for Carl Moyer Program, to reflect the negative impact of tailpipe PM on public health.</t>
        </r>
      </text>
    </comment>
    <comment ref="A40" authorId="2" shapeId="0" xr:uid="{00000000-0006-0000-0200-000003000000}">
      <text>
        <r>
          <rPr>
            <b/>
            <sz val="8"/>
            <color indexed="81"/>
            <rFont val="Tahoma"/>
            <family val="2"/>
          </rPr>
          <t>David Wiley:</t>
        </r>
        <r>
          <rPr>
            <sz val="8"/>
            <color indexed="81"/>
            <rFont val="Tahoma"/>
            <family val="2"/>
          </rPr>
          <t xml:space="preserve">
Weighted PM 10 means that tailpipe PM emissions have been multiplied by factor of 20, consistent w CARB methodology for Carl Moyer Program.</t>
        </r>
      </text>
    </comment>
  </commentList>
</comments>
</file>

<file path=xl/sharedStrings.xml><?xml version="1.0" encoding="utf-8"?>
<sst xmlns="http://schemas.openxmlformats.org/spreadsheetml/2006/main" count="400" uniqueCount="274">
  <si>
    <t>Incremental Cost</t>
  </si>
  <si>
    <t>Emission Reductions (tons/year)</t>
  </si>
  <si>
    <t>Based on Mileage</t>
  </si>
  <si>
    <t>Based on Fuel</t>
  </si>
  <si>
    <t xml:space="preserve"> </t>
  </si>
  <si>
    <t>Notes &amp; Assumptions</t>
  </si>
  <si>
    <t>S</t>
  </si>
  <si>
    <t>T</t>
  </si>
  <si>
    <r>
      <t xml:space="preserve">General Information Tab:  </t>
    </r>
    <r>
      <rPr>
        <sz val="10"/>
        <rFont val="Arial"/>
        <family val="2"/>
      </rPr>
      <t>Complete areas shaded in yellow.</t>
    </r>
  </si>
  <si>
    <t>Project Title</t>
  </si>
  <si>
    <t>Project Type Code (e.g., 7a)</t>
  </si>
  <si>
    <t>Worksheet Calculated By</t>
  </si>
  <si>
    <t>Date of Submission</t>
  </si>
  <si>
    <t>Project Sponsor</t>
  </si>
  <si>
    <t>Project Sponsor Organization</t>
  </si>
  <si>
    <t>Public Agency? (Y or N)</t>
  </si>
  <si>
    <t>Contact Name</t>
  </si>
  <si>
    <t>Email Address</t>
  </si>
  <si>
    <t>Phone Number</t>
  </si>
  <si>
    <t>Mailing Address</t>
  </si>
  <si>
    <t>City</t>
  </si>
  <si>
    <t>State</t>
  </si>
  <si>
    <t>CA</t>
  </si>
  <si>
    <t>Zip</t>
  </si>
  <si>
    <t>Project Schedule</t>
  </si>
  <si>
    <t>Project Start Date</t>
  </si>
  <si>
    <t>Project Completion Date</t>
  </si>
  <si>
    <t>Final Report to CMA</t>
  </si>
  <si>
    <t>SAMPLE</t>
  </si>
  <si>
    <t>Baseline Engine/Equipment</t>
  </si>
  <si>
    <t>Results</t>
  </si>
  <si>
    <t>Annual Fuel Use (gallons)</t>
  </si>
  <si>
    <t># Years Effectiveness:</t>
  </si>
  <si>
    <t>A</t>
  </si>
  <si>
    <t>B</t>
  </si>
  <si>
    <t>C</t>
  </si>
  <si>
    <t>F</t>
  </si>
  <si>
    <t>G</t>
  </si>
  <si>
    <t>Cost Effectiveness Results</t>
  </si>
  <si>
    <t>Annual</t>
  </si>
  <si>
    <t>Lifetime</t>
  </si>
  <si>
    <t>Tons</t>
  </si>
  <si>
    <t>/Ton</t>
  </si>
  <si>
    <t>Diesel</t>
  </si>
  <si>
    <t>H</t>
  </si>
  <si>
    <t>Totals</t>
  </si>
  <si>
    <t>E</t>
  </si>
  <si>
    <t>Model Year</t>
  </si>
  <si>
    <t>NOx</t>
  </si>
  <si>
    <t>ROG</t>
  </si>
  <si>
    <t>PM</t>
  </si>
  <si>
    <t>CO2</t>
  </si>
  <si>
    <t>I</t>
  </si>
  <si>
    <t>J</t>
  </si>
  <si>
    <t>K</t>
  </si>
  <si>
    <t>L</t>
  </si>
  <si>
    <t>M</t>
  </si>
  <si>
    <t>N</t>
  </si>
  <si>
    <t>O</t>
  </si>
  <si>
    <t>P</t>
  </si>
  <si>
    <t>D</t>
  </si>
  <si>
    <t>Q</t>
  </si>
  <si>
    <t>Urban Bus</t>
  </si>
  <si>
    <t>Cost Effectiveness Inputs</t>
  </si>
  <si>
    <t>Total Project Cost:</t>
  </si>
  <si>
    <t>TFCA Cost 40%:</t>
  </si>
  <si>
    <t>TFCA Cost 60%:</t>
  </si>
  <si>
    <t>Total TFCA Cost:</t>
  </si>
  <si>
    <t>R</t>
  </si>
  <si>
    <t>Vehicle #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</si>
  <si>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</si>
  <si>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</si>
  <si>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</si>
  <si>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</si>
  <si>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</si>
  <si>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</si>
  <si>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</si>
  <si>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</si>
  <si>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</si>
  <si>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</si>
  <si>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</si>
  <si>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</si>
  <si>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</si>
  <si>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</si>
  <si>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</si>
  <si>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</si>
  <si>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</si>
  <si>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</si>
  <si>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AN</t>
  </si>
  <si>
    <t>AO</t>
  </si>
  <si>
    <t>AP</t>
  </si>
  <si>
    <t>AQ</t>
  </si>
  <si>
    <t>AS</t>
  </si>
  <si>
    <t>AT</t>
  </si>
  <si>
    <t>AU</t>
  </si>
  <si>
    <t>AV</t>
  </si>
  <si>
    <t>AM</t>
  </si>
  <si>
    <t>Fuel Consumption Rate Factors (bhp-hr/gal)</t>
  </si>
  <si>
    <t>Horsepower</t>
  </si>
  <si>
    <t xml:space="preserve"> Fuel Consumption Rate</t>
  </si>
  <si>
    <t>&lt; 750 hp</t>
  </si>
  <si>
    <t>Conversion Factors for NOx, ROG and PM10</t>
  </si>
  <si>
    <t>Heavy-Duty Vehicle Projects (bhp-hr/mile)</t>
  </si>
  <si>
    <t>14,001-33,000 lbs.</t>
  </si>
  <si>
    <t>Heavy Heavy-Duty</t>
  </si>
  <si>
    <t>33,000 lbs. +</t>
  </si>
  <si>
    <t xml:space="preserve"> Medium Heavy-Duty</t>
  </si>
  <si>
    <t>1996+</t>
  </si>
  <si>
    <t>Retrofit
 Cost (not used)</t>
  </si>
  <si>
    <t>Capital Recovery Factor (CRF, not used)</t>
  </si>
  <si>
    <t>Actual Weighted CE ($/ ton) - MILES (w/ CRF) (not used)</t>
  </si>
  <si>
    <t>Actual Weighted CE ($/ ton) - FUEL (w/ CRF) (not used)</t>
  </si>
  <si>
    <t>Weighted C/E ($/ton), based on max eligible funding (w/ CRF) (not used)</t>
  </si>
  <si>
    <t>Maximum Grant Amount @ CE limit (w/ CRF) (not used)</t>
  </si>
  <si>
    <t>AR</t>
  </si>
  <si>
    <t>Emission Factors Tab</t>
  </si>
  <si>
    <t>Unit #</t>
  </si>
  <si>
    <t>(Not used)</t>
  </si>
  <si>
    <t>1.  ROG Emissions Reduced</t>
  </si>
  <si>
    <t>2.  NOx Emissions Reduced</t>
  </si>
  <si>
    <t xml:space="preserve">3.  PM Emissions Reduced </t>
  </si>
  <si>
    <t>4. Weighted PM Emissions Reduced</t>
  </si>
  <si>
    <t>5. CO2 Emissions Reduced</t>
  </si>
  <si>
    <t>6.  Emission Reductions (ROG, NOx &amp; PM)</t>
  </si>
  <si>
    <t>7.  TFCA Project Cost - Cost Effectiveness (ROG, NOx &amp; PM)</t>
  </si>
  <si>
    <r>
      <t xml:space="preserve">8.  TFCA Project Cost - Cost Effectiveness (ROG, NOx &amp; Weighted PM).  </t>
    </r>
    <r>
      <rPr>
        <b/>
        <sz val="10"/>
        <rFont val="Arial Rounded MT Bold"/>
        <family val="2"/>
      </rPr>
      <t>THIS VALUE MUST MEET POLICY REQUIREMENTS.</t>
    </r>
  </si>
  <si>
    <t>Amount Requested (not used)</t>
  </si>
  <si>
    <t>ALTERNATIVE FUEL HEAVY DUTY VEHICLE WORKSHEET</t>
  </si>
  <si>
    <t>2010+</t>
  </si>
  <si>
    <t>Annual VMT (mi)</t>
  </si>
  <si>
    <t>CO2 Emission Reductions (tons/yr)</t>
  </si>
  <si>
    <t>Baseline CO2 Factor (g/mi)</t>
  </si>
  <si>
    <t>Replacement Vehicle Cost</t>
  </si>
  <si>
    <t>Baseline Vehicle Cost</t>
  </si>
  <si>
    <t>Proposed Engine CO2 (g/mi)</t>
  </si>
  <si>
    <t>Mileage Basis</t>
  </si>
  <si>
    <t>AW</t>
  </si>
  <si>
    <t>AX</t>
  </si>
  <si>
    <t>Baseline CO2 Factor (g/gal)</t>
  </si>
  <si>
    <t>Proposed Engine CO2 (g/gal)</t>
  </si>
  <si>
    <t>Fuel Basis: Use only in limited cases.</t>
  </si>
  <si>
    <t>% Reduction from Retrofit (Not used)</t>
  </si>
  <si>
    <t>&gt; 750 hp</t>
  </si>
  <si>
    <t>[This is rare.]</t>
  </si>
  <si>
    <t>Provide all assumptions, rationales, and references for figures used in calculations.</t>
  </si>
  <si>
    <t>Based on Mileage.  See CO2 Emission Factors Table.</t>
  </si>
  <si>
    <t>Based on Fuel.  See CO2 Emission Factors Table.</t>
  </si>
  <si>
    <t>Proposed Engine/Equipment</t>
  </si>
  <si>
    <t>Conversion Factor--Use only one.</t>
  </si>
  <si>
    <t>Actual Weighted CE w/o CRF--Fuel Basis ($/ton)</t>
  </si>
  <si>
    <t>Do not enter data in light green sections.</t>
  </si>
  <si>
    <t>Proposed</t>
  </si>
  <si>
    <t>Fuel</t>
  </si>
  <si>
    <t>GVW</t>
  </si>
  <si>
    <t>Engine Model Yr.</t>
  </si>
  <si>
    <t>Baseline</t>
  </si>
  <si>
    <t>TFCA Funding Amount ($)</t>
  </si>
  <si>
    <t xml:space="preserve"> Med. HD Util.</t>
  </si>
  <si>
    <t>Sample shows a proposed Medium Heavy-Duty Utility Truck</t>
  </si>
  <si>
    <t>County (2-3 character abbreviation)</t>
  </si>
  <si>
    <r>
      <t xml:space="preserve">New Emission Rate (g/mile or g/bhp-hr).  </t>
    </r>
    <r>
      <rPr>
        <b/>
        <sz val="10"/>
        <color indexed="10"/>
        <rFont val="Arial"/>
        <family val="2"/>
      </rPr>
      <t>See Executive Order for Engine</t>
    </r>
  </si>
  <si>
    <t>ROG (generally N/A)</t>
  </si>
  <si>
    <t>Fuel Savings (only if a fuel usage-based hybrid vehicle project &amp; approved by Air District)</t>
  </si>
  <si>
    <t>Regional Fund Proj. #:</t>
  </si>
  <si>
    <t>Moyer Table D-24</t>
  </si>
  <si>
    <t>Moyer Table D-28 (excerpt)</t>
  </si>
  <si>
    <r>
      <t xml:space="preserve">Fuel Consump Factor (bhp-hr/ gal). </t>
    </r>
    <r>
      <rPr>
        <b/>
        <sz val="10"/>
        <color indexed="10"/>
        <rFont val="Arial"/>
        <family val="2"/>
      </rPr>
      <t xml:space="preserve"> See Moyer Table D-24</t>
    </r>
  </si>
  <si>
    <r>
      <t xml:space="preserve">
Conv. Factor from g/mi to g/bhp-hr (bhp-hr/mi).  </t>
    </r>
    <r>
      <rPr>
        <b/>
        <sz val="9"/>
        <color indexed="10"/>
        <rFont val="Arial"/>
        <family val="2"/>
      </rPr>
      <t xml:space="preserve">See Moyer Table D-28.  </t>
    </r>
    <r>
      <rPr>
        <b/>
        <sz val="9"/>
        <color indexed="48"/>
        <rFont val="Arial"/>
        <family val="2"/>
      </rPr>
      <t>Use Col. H or J--not both.</t>
    </r>
  </si>
  <si>
    <r>
      <t xml:space="preserve">Conv. Factor from g/bhp-hr to g/mi (bhp-hr/mi). </t>
    </r>
    <r>
      <rPr>
        <b/>
        <sz val="9"/>
        <color indexed="10"/>
        <rFont val="Arial"/>
        <family val="2"/>
      </rPr>
      <t xml:space="preserve">See Moyer Table D-28. </t>
    </r>
    <r>
      <rPr>
        <b/>
        <sz val="9"/>
        <color indexed="16"/>
        <rFont val="Arial"/>
        <family val="2"/>
      </rPr>
      <t xml:space="preserve"> Use Col. H or J--not both.
</t>
    </r>
  </si>
  <si>
    <r>
      <t xml:space="preserve">Conv. Factor from g/mi to g/bhp-hr (bhp-hr/mi).  </t>
    </r>
    <r>
      <rPr>
        <b/>
        <sz val="9"/>
        <color indexed="10"/>
        <rFont val="Arial"/>
        <family val="2"/>
      </rPr>
      <t>See Moyer Table D-28</t>
    </r>
  </si>
  <si>
    <r>
      <t xml:space="preserve">Conv. Factor from g/bhp-hr to g/mi (bhp-hr/mi). </t>
    </r>
    <r>
      <rPr>
        <b/>
        <sz val="9"/>
        <color indexed="10"/>
        <rFont val="Arial"/>
        <family val="2"/>
      </rPr>
      <t>See Moyer Table D-28</t>
    </r>
    <r>
      <rPr>
        <b/>
        <sz val="9"/>
        <color indexed="16"/>
        <rFont val="Arial"/>
        <family val="2"/>
      </rPr>
      <t xml:space="preserve">
</t>
    </r>
  </si>
  <si>
    <r>
      <t xml:space="preserve">Calculations Tab:  </t>
    </r>
    <r>
      <rPr>
        <sz val="10"/>
        <rFont val="Arial"/>
        <family val="2"/>
      </rPr>
      <t>Complete areas shaded in light yellow only.</t>
    </r>
  </si>
  <si>
    <t xml:space="preserve">Percent Operation in                   Air District
 </t>
  </si>
  <si>
    <r>
      <t>ROG</t>
    </r>
    <r>
      <rPr>
        <b/>
        <sz val="8"/>
        <rFont val="Arial"/>
        <family val="2"/>
      </rPr>
      <t xml:space="preserve"> (See instructions)</t>
    </r>
  </si>
  <si>
    <t># Years Effectiveness</t>
  </si>
  <si>
    <t>ROG (generally   N/A)</t>
  </si>
  <si>
    <r>
      <t xml:space="preserve">Baseline Emission Rate (g/bhp-hr or g/mile).  </t>
    </r>
    <r>
      <rPr>
        <b/>
        <sz val="10"/>
        <color indexed="10"/>
        <rFont val="Arial"/>
        <family val="2"/>
      </rPr>
      <t>See Moyer Table D-2a/b or D-6</t>
    </r>
  </si>
  <si>
    <t>1991-1993</t>
  </si>
  <si>
    <t>1994-1997</t>
  </si>
  <si>
    <t>2007-2009</t>
  </si>
  <si>
    <r>
      <t xml:space="preserve">Fuel Consump Factor (bhp-hr/ gal).  </t>
    </r>
    <r>
      <rPr>
        <b/>
        <sz val="10"/>
        <color indexed="10"/>
        <rFont val="Arial"/>
        <family val="2"/>
      </rPr>
      <t>See Moyer Table D-24</t>
    </r>
  </si>
  <si>
    <t>Actual Weighted CE w/o CRF--Mileage Basis ($/ton)</t>
  </si>
  <si>
    <t>http://www.baaqmd.gov/tfca4pm</t>
  </si>
  <si>
    <t>ARB Table 5-C:</t>
  </si>
  <si>
    <r>
      <rPr>
        <b/>
        <sz val="12"/>
        <rFont val="Arial"/>
        <family val="2"/>
      </rPr>
      <t>Diesel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Medium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Heavy-Duty </t>
    </r>
    <r>
      <rPr>
        <sz val="12"/>
        <rFont val="Arial"/>
        <family val="2"/>
      </rPr>
      <t>Vehicles (g/mile)</t>
    </r>
    <r>
      <rPr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>:</t>
    </r>
    <r>
      <rPr>
        <vertAlign val="superscript"/>
        <sz val="12"/>
        <rFont val="Arial"/>
        <family val="2"/>
      </rPr>
      <t xml:space="preserve">  </t>
    </r>
    <r>
      <rPr>
        <sz val="12"/>
        <rFont val="Arial"/>
        <family val="2"/>
      </rPr>
      <t>14,001-33,000 lbs</t>
    </r>
  </si>
  <si>
    <r>
      <t>ROG</t>
    </r>
    <r>
      <rPr>
        <b/>
        <vertAlign val="superscript"/>
        <sz val="10"/>
        <rFont val="Arial"/>
        <family val="2"/>
      </rPr>
      <t>c</t>
    </r>
  </si>
  <si>
    <t>Exhaust PM2.5</t>
  </si>
  <si>
    <t>Exhaust PM10</t>
  </si>
  <si>
    <t>Other PM</t>
  </si>
  <si>
    <r>
      <t>CO2</t>
    </r>
    <r>
      <rPr>
        <b/>
        <vertAlign val="superscript"/>
        <sz val="10"/>
        <rFont val="Arial"/>
        <family val="2"/>
      </rPr>
      <t>e</t>
    </r>
  </si>
  <si>
    <t>&lt;</t>
  </si>
  <si>
    <t>Pre-1987</t>
  </si>
  <si>
    <t>1987-1990</t>
  </si>
  <si>
    <t>1998-2002</t>
  </si>
  <si>
    <t>2003-2006</t>
  </si>
  <si>
    <r>
      <t>2007-2009 (0.5 g/bhp-hr NOx or Cleaner)</t>
    </r>
    <r>
      <rPr>
        <vertAlign val="superscript"/>
        <sz val="10"/>
        <rFont val="Arial"/>
        <family val="2"/>
      </rPr>
      <t>d</t>
    </r>
  </si>
  <si>
    <t xml:space="preserve">Source for ROG, NOx, and PM2.5: Methods to Find the Cost-Effectiveness of Funding Air Quality Projects Table 5-C </t>
  </si>
  <si>
    <t>See "Other PM10, Diesel Fleet" for Other PM calculations</t>
  </si>
  <si>
    <t>Source for PM10: Carl Moyer Guidelines, July 11, 2014, Table D-3</t>
  </si>
  <si>
    <t>Source for CO2 Values calculated by Amir Fanai (BAAQMD) using EMFAC 2007 V2.3</t>
  </si>
  <si>
    <t>a - EMFAC 2011 Zero-Mile Based Emission Factors.</t>
  </si>
  <si>
    <t>b - Emission factors incorporate the ultra low-sulfur diesel fuel correction factors listed in Table D-26 of the Moyer guidelines.</t>
  </si>
  <si>
    <t>c - ROG - HC * 1.26639.</t>
  </si>
  <si>
    <t xml:space="preserve">d - These values are interpolated between 1.2 g/bhp-hr Nox standard for 2007-2009 model years and 0.2 g/bhp-hr Nox standard for 2010+ model years. </t>
  </si>
  <si>
    <t>CO2 from EMFAC 2014, includes both RUNEX, other CO2 emissions averaged over VMT for a total per mile figure. Ken Mak, updated Dec 12, 2016</t>
  </si>
  <si>
    <t>ARB Table 5-D:</t>
  </si>
  <si>
    <r>
      <rPr>
        <b/>
        <sz val="12"/>
        <rFont val="Arial"/>
        <family val="2"/>
      </rPr>
      <t>Diesel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Heavy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Heavy-Duty</t>
    </r>
    <r>
      <rPr>
        <sz val="12"/>
        <rFont val="Arial"/>
        <family val="2"/>
      </rPr>
      <t xml:space="preserve"> Vehicles (g/mile)</t>
    </r>
    <r>
      <rPr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33,001-60,000 lbs</t>
    </r>
  </si>
  <si>
    <t>Source for ROG, NOx, and PM2.5: Methods to Find the Cost-Effectiveness of Funding Air Quality Projects Table 5-D</t>
  </si>
  <si>
    <t>Source for PM10: Carl Moyer Guidelines, July 11, 2014, Table D-4</t>
  </si>
  <si>
    <t>ARB Table 5-E:</t>
  </si>
  <si>
    <r>
      <rPr>
        <b/>
        <sz val="12"/>
        <rFont val="Arial"/>
        <family val="2"/>
      </rPr>
      <t>Diesel Urban Buses</t>
    </r>
    <r>
      <rPr>
        <sz val="12"/>
        <rFont val="Arial"/>
        <family val="2"/>
      </rPr>
      <t xml:space="preserve"> (g/mile)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>. 33,000+ lbs</t>
    </r>
  </si>
  <si>
    <r>
      <t>EO Certification Standards</t>
    </r>
    <r>
      <rPr>
        <vertAlign val="superscript"/>
        <sz val="10"/>
        <rFont val="Arial"/>
        <family val="2"/>
      </rPr>
      <t xml:space="preserve">f </t>
    </r>
    <r>
      <rPr>
        <b/>
        <sz val="10"/>
        <rFont val="Arial"/>
        <family val="2"/>
      </rPr>
      <t>(g/bhp-hr)</t>
    </r>
  </si>
  <si>
    <r>
      <t>ROG</t>
    </r>
    <r>
      <rPr>
        <b/>
        <vertAlign val="superscript"/>
        <sz val="10"/>
        <rFont val="Arial"/>
        <family val="2"/>
      </rPr>
      <t>a</t>
    </r>
  </si>
  <si>
    <t>6.0 NOX</t>
  </si>
  <si>
    <t>0.6 PM10</t>
  </si>
  <si>
    <t>5.0 NOX</t>
  </si>
  <si>
    <t>0.1 PM10</t>
  </si>
  <si>
    <t>0.07 PM10</t>
  </si>
  <si>
    <t>4.0 NOX</t>
  </si>
  <si>
    <t>0.05 PM10</t>
  </si>
  <si>
    <t>2.5 NOX + NMHC</t>
  </si>
  <si>
    <t>1.20 NOX</t>
  </si>
  <si>
    <t>0.01 PM10</t>
  </si>
  <si>
    <t>0.20 NOX</t>
  </si>
  <si>
    <t>Source for ROG, NOx, and PM2.5: Methods to Find the Cost-Effectiveness of Funding Air Quality Projects Table 5-E. Source for PM10: Carl Moyer Guidelines, 7/11/14, Table D-5</t>
  </si>
  <si>
    <t>Source for "Other PM": Methods to Find the Cost-Effectiveness of Funding Air Quality Projects Table 1. Average for Tire Wear, Brake Wear, and Road Dust values. PM2.5 converted to PM10.</t>
  </si>
  <si>
    <t>a - ROG = HC * 1.26639</t>
  </si>
  <si>
    <t>b - Mileage based emissions factors were calculated using conversion factors from Table D-28 of the Moyer guidelines.</t>
  </si>
  <si>
    <t>f - No diesel buses have been certified to the 0.5 g/bhp/hr for the 2004-2006 model year emission standard.</t>
  </si>
  <si>
    <t>ARB Table 5-F:</t>
  </si>
  <si>
    <r>
      <rPr>
        <b/>
        <sz val="12"/>
        <rFont val="Arial"/>
        <family val="2"/>
      </rPr>
      <t>Natural Gas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Urban Buses </t>
    </r>
    <r>
      <rPr>
        <sz val="12"/>
        <rFont val="Arial"/>
        <family val="2"/>
      </rPr>
      <t>(g/mile)</t>
    </r>
    <r>
      <rPr>
        <vertAlign val="superscript"/>
        <sz val="12"/>
        <rFont val="Arial"/>
        <family val="2"/>
      </rPr>
      <t xml:space="preserve">b </t>
    </r>
    <r>
      <rPr>
        <sz val="12"/>
        <rFont val="Arial"/>
        <family val="2"/>
      </rPr>
      <t>33,000+ lbs</t>
    </r>
  </si>
  <si>
    <t>EO Certification Standards (g/bhp-hr)</t>
  </si>
  <si>
    <t>0.10 PM10</t>
  </si>
  <si>
    <r>
      <t>1.8 NOX + NMHC</t>
    </r>
    <r>
      <rPr>
        <vertAlign val="superscript"/>
        <sz val="10"/>
        <rFont val="Arial"/>
        <family val="2"/>
      </rPr>
      <t>fg</t>
    </r>
  </si>
  <si>
    <t>0.02 PM10</t>
  </si>
  <si>
    <t>1.2 NOX</t>
  </si>
  <si>
    <t>0.2 NOX</t>
  </si>
  <si>
    <t>Source for ROG, NOx, and PM2.5: Methods to Find the Cost-Effectiveness of Funding Air Quality Projects Table 5-F</t>
  </si>
  <si>
    <t>Source for PM10: Carl Moyer Guidelines, July 11, 2014, Table D-6</t>
  </si>
  <si>
    <t>Source for CO2 Value: EMFAC 2007 for Diesel Urban Bus, aggregate value for CO2_RUNEX(Pavley I+LCFS) for all model years. Methodology suggested by Dennis Wade from ARB; natural gas vehicles are certified to deisel standards. - Avra Goldman</t>
  </si>
  <si>
    <t xml:space="preserve">f - A majority of the natural gas urban buses have been certified to the optional standards. Therefore, these values are based on the optional standards. </t>
  </si>
  <si>
    <t xml:space="preserve">g - many natural gas urban buses have been certified to optional standards below this level. </t>
  </si>
  <si>
    <r>
      <rPr>
        <b/>
        <sz val="12"/>
        <rFont val="Arial"/>
        <family val="2"/>
      </rPr>
      <t>Alternative Fuel Medium Heavy</t>
    </r>
    <r>
      <rPr>
        <sz val="12"/>
        <rFont val="Arial"/>
        <family val="2"/>
      </rPr>
      <t>-Duty Vehicles (g/mile)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: 14,001-33,000 lbs</t>
    </r>
  </si>
  <si>
    <t>Pre 1990, 6.0 NOX</t>
  </si>
  <si>
    <t>1990, 6.0 NOX</t>
  </si>
  <si>
    <t>1991-1993, 5.0 NOX</t>
  </si>
  <si>
    <t>1994-1997, 5.0 NOX</t>
  </si>
  <si>
    <t>1998-2001, 4.0 NOX</t>
  </si>
  <si>
    <t>2002-2006, 2.5 NOX</t>
  </si>
  <si>
    <t>2007-2009, 1.8 NOX</t>
  </si>
  <si>
    <t>2007-2009, 1.5 NOX</t>
  </si>
  <si>
    <t>2007-2009, 1.2 NOX</t>
  </si>
  <si>
    <t>2007-2009, 0.84 NOX</t>
  </si>
  <si>
    <t>2007-2009, 0.5 NOX</t>
  </si>
  <si>
    <t>2010+, 0.2 NOX</t>
  </si>
  <si>
    <t>Source for ROG, Nox: Method to Find the Cost-Effectiveness of Funding Air Quality Projects (May 2013), table 5-B, Source for PM10: Carl Moyer Guidelines (July 2014), table D-2</t>
  </si>
  <si>
    <t>Source for CO2 Values: used values for medium heavy-duty deisel vehicles, per Dennis Wade's suggestion (ARB), as Alt. fuel vehicles are certified to deisel standard and alt. fuel is not available on EMFAC. - Avra Goldman</t>
  </si>
  <si>
    <t>a - Mileage based emissions factors were calculated using conversion factors from Carl Moyer Guidelines, Table D-28 &amp; D-24</t>
  </si>
  <si>
    <r>
      <rPr>
        <b/>
        <sz val="12"/>
        <rFont val="Arial"/>
        <family val="2"/>
      </rPr>
      <t xml:space="preserve">Alternative Fuel Heavy </t>
    </r>
    <r>
      <rPr>
        <sz val="12"/>
        <rFont val="Arial"/>
        <family val="2"/>
      </rPr>
      <t>Heavy-Duty Vehicles (g/mile)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>: 33,001-60,000 lbs</t>
    </r>
  </si>
  <si>
    <t>Source for CO2 Values: used values for heavy heavy-duty deisel vehicles, per Dennis Wade's (ARB) suggestion, as Alt. fuel vehicles are certified to deisel standard and alt. fuel is not available on EMFAC. - Avra Goldman</t>
  </si>
  <si>
    <t>GASOLINE MEDIUM DUTY VEHICLES (5751-8500 lbs)</t>
  </si>
  <si>
    <t>Model year</t>
  </si>
  <si>
    <t>NOX</t>
  </si>
  <si>
    <t>PM10 Exhaust</t>
  </si>
  <si>
    <t>PM10 TW+BW+RD*</t>
  </si>
  <si>
    <t>Source for ROG, NOX, PM10 Exhaust, PM10 Tire Wear, PM10 Brake Wear, and CO2 from EMFAC2014, updated by Ken Mak, Dec 2016</t>
  </si>
  <si>
    <t>*Source for PM10 Road Dust from ARB Methods to Find the Cost Effectiveness of Funding Air Quality Projects, May 2013, Table 1, PM2.5 value converted to PM10</t>
  </si>
  <si>
    <t>**No Data for 2009 Gasoline UB in EMFAC2011. Values are an average of 2008 and 2010 figures. -Ken Mak, Aug 2014, Suggested by Amir Fanai</t>
  </si>
  <si>
    <t>N/A</t>
  </si>
  <si>
    <t>Project Number (20XXXYY)</t>
  </si>
  <si>
    <t>Instructions are available in Appendix H of the County Program Manager Fund Expenditure Plan Guidance Fiscal Year Ending 2020 at:</t>
  </si>
  <si>
    <t>FYE 2020 TFCA County Program Manager Fund Worksheet</t>
  </si>
  <si>
    <t>FYE 2020 TFCA County Progam Manager Fund Worksheet</t>
  </si>
  <si>
    <t>Version 2020.1, Updated 2/22/2019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</si>
</sst>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&quot;$&quot;#,##0"/>
    <numFmt numFmtId="168" formatCode="[&lt;=9999999]###\-####;\(###\)\ ###\-####"/>
    <numFmt numFmtId="169" formatCode="0.0%"/>
    <numFmt numFmtId="170" formatCode="00000"/>
    <numFmt numFmtId="171" formatCode="_(&quot;$&quot;* #,##0_);_(&quot;$&quot;* \(#,##0\);_(&quot;$&quot;* &quot;-&quot;??_);_(@_)"/>
    <numFmt numFmtId="172" formatCode="_(* #,##0.000_);_(* \(#,##0.000\);_(* &quot;-&quot;??_);_(@_)"/>
  </numFmts>
  <fonts count="57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i/>
      <sz val="10"/>
      <name val="MS Sans Serif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2"/>
      <name val="MS Sans Serif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 Rounded MT Bold"/>
      <family val="2"/>
    </font>
    <font>
      <b/>
      <sz val="10"/>
      <name val="Arial Rounded MT Bold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sz val="1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9"/>
      <color indexed="48"/>
      <name val="Arial"/>
      <family val="2"/>
    </font>
    <font>
      <b/>
      <sz val="9"/>
      <color indexed="16"/>
      <name val="Arial"/>
      <family val="2"/>
    </font>
    <font>
      <sz val="9"/>
      <name val="MS Sans Serif"/>
      <family val="2"/>
    </font>
    <font>
      <b/>
      <sz val="6"/>
      <name val="Arial"/>
      <family val="2"/>
    </font>
    <font>
      <sz val="6"/>
      <name val="MS Sans Serif"/>
      <family val="2"/>
    </font>
    <font>
      <b/>
      <sz val="6"/>
      <name val="Arial"/>
      <family val="2"/>
    </font>
    <font>
      <b/>
      <sz val="9"/>
      <color indexed="10"/>
      <name val="Arial"/>
      <family val="2"/>
    </font>
    <font>
      <i/>
      <sz val="10"/>
      <name val="MS Sans Serif"/>
      <family val="2"/>
    </font>
    <font>
      <u/>
      <sz val="7.5"/>
      <color indexed="12"/>
      <name val="Arial"/>
      <family val="2"/>
    </font>
    <font>
      <u/>
      <sz val="7.5"/>
      <color indexed="12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8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4" fillId="0" borderId="0"/>
    <xf numFmtId="0" fontId="7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/>
    <xf numFmtId="9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" fillId="0" borderId="0"/>
  </cellStyleXfs>
  <cellXfs count="43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ill="1" applyBorder="1"/>
    <xf numFmtId="0" fontId="0" fillId="0" borderId="0" xfId="0" applyBorder="1"/>
    <xf numFmtId="0" fontId="0" fillId="0" borderId="1" xfId="0" applyBorder="1"/>
    <xf numFmtId="4" fontId="0" fillId="0" borderId="0" xfId="0" applyNumberFormat="1"/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3" fontId="0" fillId="0" borderId="0" xfId="0" applyNumberFormat="1"/>
    <xf numFmtId="0" fontId="0" fillId="0" borderId="6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2" xfId="0" applyFill="1" applyBorder="1"/>
    <xf numFmtId="5" fontId="0" fillId="0" borderId="0" xfId="0" applyNumberFormat="1" applyFill="1"/>
    <xf numFmtId="0" fontId="0" fillId="0" borderId="9" xfId="0" applyFill="1" applyBorder="1"/>
    <xf numFmtId="2" fontId="0" fillId="0" borderId="1" xfId="0" applyNumberFormat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10" fillId="0" borderId="0" xfId="0" applyFont="1" applyBorder="1"/>
    <xf numFmtId="0" fontId="10" fillId="0" borderId="0" xfId="0" applyFont="1" applyBorder="1" applyAlignment="1">
      <alignment horizontal="centerContinuous"/>
    </xf>
    <xf numFmtId="0" fontId="0" fillId="0" borderId="9" xfId="0" applyBorder="1"/>
    <xf numFmtId="3" fontId="0" fillId="0" borderId="0" xfId="0" applyNumberFormat="1" applyFill="1" applyBorder="1" applyAlignment="1">
      <alignment horizontal="righ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/>
    <xf numFmtId="4" fontId="0" fillId="0" borderId="0" xfId="0" applyNumberFormat="1" applyBorder="1"/>
    <xf numFmtId="0" fontId="10" fillId="0" borderId="0" xfId="0" applyFont="1" applyFill="1" applyBorder="1" applyAlignment="1">
      <alignment horizontal="centerContinuous"/>
    </xf>
    <xf numFmtId="0" fontId="0" fillId="0" borderId="11" xfId="0" applyBorder="1"/>
    <xf numFmtId="2" fontId="0" fillId="2" borderId="10" xfId="0" applyNumberFormat="1" applyFill="1" applyBorder="1" applyAlignment="1" applyProtection="1">
      <alignment horizontal="centerContinuous"/>
    </xf>
    <xf numFmtId="0" fontId="0" fillId="0" borderId="0" xfId="0" applyFill="1" applyBorder="1" applyAlignment="1">
      <alignment horizontal="centerContinuous"/>
    </xf>
    <xf numFmtId="0" fontId="18" fillId="0" borderId="9" xfId="0" applyFont="1" applyBorder="1"/>
    <xf numFmtId="0" fontId="18" fillId="0" borderId="3" xfId="0" applyFont="1" applyBorder="1"/>
    <xf numFmtId="0" fontId="18" fillId="0" borderId="4" xfId="0" applyFont="1" applyBorder="1" applyAlignment="1">
      <alignment horizontal="centerContinuous"/>
    </xf>
    <xf numFmtId="0" fontId="19" fillId="0" borderId="4" xfId="0" applyFont="1" applyBorder="1" applyAlignment="1">
      <alignment horizontal="centerContinuous"/>
    </xf>
    <xf numFmtId="0" fontId="0" fillId="0" borderId="10" xfId="0" applyFill="1" applyBorder="1"/>
    <xf numFmtId="0" fontId="0" fillId="0" borderId="15" xfId="0" applyBorder="1"/>
    <xf numFmtId="5" fontId="13" fillId="2" borderId="10" xfId="0" applyNumberFormat="1" applyFont="1" applyFill="1" applyBorder="1" applyAlignment="1" applyProtection="1">
      <alignment horizontal="centerContinuous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4" fillId="0" borderId="0" xfId="0" applyFont="1"/>
    <xf numFmtId="14" fontId="15" fillId="3" borderId="16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170" fontId="15" fillId="3" borderId="16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right" vertical="center" wrapText="1"/>
    </xf>
    <xf numFmtId="49" fontId="15" fillId="3" borderId="10" xfId="0" applyNumberFormat="1" applyFont="1" applyFill="1" applyBorder="1" applyAlignment="1">
      <alignment horizontal="center" vertical="center" wrapText="1"/>
    </xf>
    <xf numFmtId="168" fontId="15" fillId="3" borderId="10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right" vertical="center" wrapText="1"/>
    </xf>
    <xf numFmtId="170" fontId="15" fillId="3" borderId="10" xfId="0" applyNumberFormat="1" applyFont="1" applyFill="1" applyBorder="1" applyAlignment="1">
      <alignment horizontal="center" vertical="center" wrapText="1"/>
    </xf>
    <xf numFmtId="8" fontId="15" fillId="0" borderId="20" xfId="1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right" vertical="center" wrapText="1"/>
    </xf>
    <xf numFmtId="14" fontId="15" fillId="3" borderId="10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 applyProtection="1">
      <protection locked="0"/>
    </xf>
    <xf numFmtId="0" fontId="17" fillId="0" borderId="0" xfId="0" applyFont="1" applyFill="1" applyBorder="1" applyAlignment="1">
      <alignment horizontal="centerContinuous"/>
    </xf>
    <xf numFmtId="0" fontId="0" fillId="0" borderId="22" xfId="0" applyBorder="1"/>
    <xf numFmtId="0" fontId="0" fillId="0" borderId="23" xfId="0" applyBorder="1"/>
    <xf numFmtId="0" fontId="24" fillId="0" borderId="0" xfId="0" applyFon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24" xfId="0" applyNumberFormat="1" applyFill="1" applyBorder="1" applyAlignment="1">
      <alignment horizontal="centerContinuous"/>
    </xf>
    <xf numFmtId="2" fontId="0" fillId="2" borderId="24" xfId="0" applyNumberFormat="1" applyFill="1" applyBorder="1" applyAlignment="1" applyProtection="1">
      <alignment horizontal="centerContinuous"/>
    </xf>
    <xf numFmtId="5" fontId="2" fillId="2" borderId="24" xfId="0" applyNumberFormat="1" applyFont="1" applyFill="1" applyBorder="1" applyAlignment="1" applyProtection="1">
      <alignment horizontal="centerContinuous"/>
    </xf>
    <xf numFmtId="0" fontId="0" fillId="0" borderId="25" xfId="0" applyBorder="1"/>
    <xf numFmtId="0" fontId="0" fillId="0" borderId="6" xfId="0" applyFill="1" applyBorder="1"/>
    <xf numFmtId="0" fontId="0" fillId="0" borderId="1" xfId="0" applyFill="1" applyBorder="1"/>
    <xf numFmtId="0" fontId="0" fillId="0" borderId="25" xfId="0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9" fontId="10" fillId="0" borderId="0" xfId="0" applyNumberFormat="1" applyFont="1" applyFill="1" applyBorder="1"/>
    <xf numFmtId="4" fontId="10" fillId="0" borderId="0" xfId="0" applyNumberFormat="1" applyFont="1" applyFill="1" applyBorder="1" applyAlignment="1">
      <alignment horizontal="right"/>
    </xf>
    <xf numFmtId="5" fontId="10" fillId="0" borderId="26" xfId="0" applyNumberFormat="1" applyFont="1" applyFill="1" applyBorder="1"/>
    <xf numFmtId="5" fontId="10" fillId="0" borderId="9" xfId="0" applyNumberFormat="1" applyFont="1" applyFill="1" applyBorder="1"/>
    <xf numFmtId="5" fontId="0" fillId="0" borderId="9" xfId="0" applyNumberFormat="1" applyFill="1" applyBorder="1"/>
    <xf numFmtId="0" fontId="10" fillId="0" borderId="9" xfId="0" applyFont="1" applyFill="1" applyBorder="1"/>
    <xf numFmtId="5" fontId="0" fillId="0" borderId="27" xfId="0" applyNumberFormat="1" applyFill="1" applyBorder="1"/>
    <xf numFmtId="5" fontId="0" fillId="0" borderId="3" xfId="0" applyNumberFormat="1" applyFill="1" applyBorder="1"/>
    <xf numFmtId="0" fontId="0" fillId="0" borderId="4" xfId="0" applyFill="1" applyBorder="1"/>
    <xf numFmtId="5" fontId="0" fillId="0" borderId="28" xfId="0" applyNumberFormat="1" applyFill="1" applyBorder="1"/>
    <xf numFmtId="0" fontId="0" fillId="0" borderId="28" xfId="0" applyFill="1" applyBorder="1"/>
    <xf numFmtId="5" fontId="0" fillId="0" borderId="31" xfId="0" applyNumberFormat="1" applyFill="1" applyBorder="1"/>
    <xf numFmtId="0" fontId="0" fillId="0" borderId="33" xfId="0" applyBorder="1"/>
    <xf numFmtId="5" fontId="0" fillId="0" borderId="21" xfId="0" applyNumberForma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2" fontId="0" fillId="3" borderId="10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167" fontId="0" fillId="4" borderId="10" xfId="0" applyNumberFormat="1" applyFill="1" applyBorder="1" applyAlignment="1">
      <alignment horizontal="center" vertical="center"/>
    </xf>
    <xf numFmtId="9" fontId="0" fillId="4" borderId="10" xfId="0" applyNumberFormat="1" applyFill="1" applyBorder="1" applyAlignment="1">
      <alignment horizontal="center" vertical="center"/>
    </xf>
    <xf numFmtId="164" fontId="33" fillId="4" borderId="10" xfId="0" applyNumberFormat="1" applyFont="1" applyFill="1" applyBorder="1" applyAlignment="1">
      <alignment horizontal="center" vertical="center"/>
    </xf>
    <xf numFmtId="171" fontId="34" fillId="4" borderId="10" xfId="1" applyNumberFormat="1" applyFont="1" applyFill="1" applyBorder="1" applyAlignment="1">
      <alignment horizontal="center" vertical="center"/>
    </xf>
    <xf numFmtId="8" fontId="34" fillId="4" borderId="10" xfId="1" applyFont="1" applyFill="1" applyBorder="1" applyAlignment="1">
      <alignment horizontal="center" vertical="center"/>
    </xf>
    <xf numFmtId="171" fontId="33" fillId="4" borderId="10" xfId="1" applyNumberFormat="1" applyFont="1" applyFill="1" applyBorder="1" applyAlignment="1">
      <alignment horizontal="center" vertical="center"/>
    </xf>
    <xf numFmtId="171" fontId="33" fillId="4" borderId="10" xfId="1" applyNumberFormat="1" applyFont="1" applyFill="1" applyBorder="1" applyAlignment="1">
      <alignment horizontal="center"/>
    </xf>
    <xf numFmtId="165" fontId="7" fillId="3" borderId="10" xfId="3" applyNumberFormat="1" applyFont="1" applyFill="1" applyBorder="1" applyAlignment="1">
      <alignment horizontal="center" vertical="center"/>
    </xf>
    <xf numFmtId="164" fontId="34" fillId="2" borderId="10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Continuous"/>
    </xf>
    <xf numFmtId="2" fontId="0" fillId="5" borderId="10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8" fontId="7" fillId="5" borderId="10" xfId="1" applyFont="1" applyFill="1" applyBorder="1" applyAlignment="1">
      <alignment horizontal="center" vertical="center"/>
    </xf>
    <xf numFmtId="165" fontId="7" fillId="5" borderId="10" xfId="3" applyNumberFormat="1" applyFont="1" applyFill="1" applyBorder="1" applyAlignment="1">
      <alignment horizontal="center" vertical="center"/>
    </xf>
    <xf numFmtId="164" fontId="34" fillId="5" borderId="10" xfId="0" applyNumberFormat="1" applyFont="1" applyFill="1" applyBorder="1" applyAlignment="1">
      <alignment horizontal="center" vertical="center"/>
    </xf>
    <xf numFmtId="3" fontId="0" fillId="5" borderId="10" xfId="0" applyNumberFormat="1" applyFill="1" applyBorder="1"/>
    <xf numFmtId="0" fontId="26" fillId="0" borderId="0" xfId="0" applyFont="1" applyAlignment="1">
      <alignment horizontal="left"/>
    </xf>
    <xf numFmtId="167" fontId="0" fillId="2" borderId="5" xfId="0" applyNumberFormat="1" applyFill="1" applyBorder="1" applyAlignment="1" applyProtection="1">
      <alignment horizontal="center"/>
      <protection locked="0"/>
    </xf>
    <xf numFmtId="3" fontId="0" fillId="5" borderId="16" xfId="0" applyNumberFormat="1" applyFill="1" applyBorder="1"/>
    <xf numFmtId="165" fontId="0" fillId="4" borderId="11" xfId="0" applyNumberFormat="1" applyFill="1" applyBorder="1"/>
    <xf numFmtId="0" fontId="24" fillId="0" borderId="14" xfId="0" applyFont="1" applyFill="1" applyBorder="1"/>
    <xf numFmtId="166" fontId="0" fillId="5" borderId="11" xfId="0" applyNumberFormat="1" applyFill="1" applyBorder="1"/>
    <xf numFmtId="3" fontId="0" fillId="3" borderId="16" xfId="0" applyNumberFormat="1" applyFill="1" applyBorder="1"/>
    <xf numFmtId="3" fontId="0" fillId="3" borderId="10" xfId="0" applyNumberFormat="1" applyFill="1" applyBorder="1"/>
    <xf numFmtId="166" fontId="0" fillId="2" borderId="11" xfId="0" applyNumberFormat="1" applyFill="1" applyBorder="1"/>
    <xf numFmtId="0" fontId="13" fillId="0" borderId="36" xfId="0" applyFont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169" fontId="13" fillId="0" borderId="36" xfId="0" applyNumberFormat="1" applyFont="1" applyFill="1" applyBorder="1" applyAlignment="1">
      <alignment horizontal="center"/>
    </xf>
    <xf numFmtId="3" fontId="13" fillId="0" borderId="36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8" fontId="7" fillId="3" borderId="10" xfId="1" applyFont="1" applyFill="1" applyBorder="1" applyAlignment="1">
      <alignment horizontal="center" vertical="center"/>
    </xf>
    <xf numFmtId="2" fontId="0" fillId="5" borderId="16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171" fontId="7" fillId="5" borderId="10" xfId="1" applyNumberFormat="1" applyFont="1" applyFill="1" applyBorder="1" applyAlignment="1">
      <alignment horizontal="center"/>
    </xf>
    <xf numFmtId="171" fontId="7" fillId="3" borderId="10" xfId="1" applyNumberFormat="1" applyFont="1" applyFill="1" applyBorder="1" applyAlignment="1">
      <alignment horizontal="center"/>
    </xf>
    <xf numFmtId="44" fontId="22" fillId="5" borderId="10" xfId="1" applyNumberFormat="1" applyFont="1" applyFill="1" applyBorder="1" applyAlignment="1">
      <alignment horizontal="center" vertical="center"/>
    </xf>
    <xf numFmtId="44" fontId="22" fillId="3" borderId="10" xfId="1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left"/>
    </xf>
    <xf numFmtId="0" fontId="0" fillId="4" borderId="1" xfId="0" applyFill="1" applyBorder="1" applyAlignment="1">
      <alignment horizontal="centerContinuous"/>
    </xf>
    <xf numFmtId="0" fontId="0" fillId="4" borderId="1" xfId="0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0" fontId="0" fillId="4" borderId="37" xfId="0" applyFill="1" applyBorder="1" applyAlignment="1">
      <alignment horizontal="centerContinuous"/>
    </xf>
    <xf numFmtId="2" fontId="0" fillId="2" borderId="11" xfId="0" applyNumberFormat="1" applyFill="1" applyBorder="1" applyAlignment="1">
      <alignment horizontal="centerContinuous"/>
    </xf>
    <xf numFmtId="2" fontId="0" fillId="2" borderId="11" xfId="0" applyNumberFormat="1" applyFill="1" applyBorder="1" applyAlignment="1" applyProtection="1">
      <alignment horizontal="centerContinuous"/>
    </xf>
    <xf numFmtId="5" fontId="2" fillId="2" borderId="11" xfId="0" applyNumberFormat="1" applyFont="1" applyFill="1" applyBorder="1" applyAlignment="1" applyProtection="1">
      <alignment horizontal="centerContinuous"/>
    </xf>
    <xf numFmtId="0" fontId="0" fillId="0" borderId="33" xfId="0" applyFill="1" applyBorder="1"/>
    <xf numFmtId="0" fontId="0" fillId="0" borderId="37" xfId="0" applyBorder="1"/>
    <xf numFmtId="0" fontId="9" fillId="0" borderId="39" xfId="0" applyFont="1" applyBorder="1"/>
    <xf numFmtId="0" fontId="0" fillId="0" borderId="40" xfId="0" applyBorder="1"/>
    <xf numFmtId="0" fontId="0" fillId="0" borderId="40" xfId="0" applyFill="1" applyBorder="1"/>
    <xf numFmtId="2" fontId="0" fillId="2" borderId="12" xfId="0" applyNumberFormat="1" applyFill="1" applyBorder="1" applyAlignment="1">
      <alignment horizontal="left" indent="1"/>
    </xf>
    <xf numFmtId="8" fontId="7" fillId="0" borderId="40" xfId="1" applyFont="1" applyFill="1" applyBorder="1"/>
    <xf numFmtId="8" fontId="0" fillId="2" borderId="12" xfId="1" applyFont="1" applyFill="1" applyBorder="1" applyAlignment="1">
      <alignment horizontal="left" indent="1"/>
    </xf>
    <xf numFmtId="171" fontId="0" fillId="0" borderId="40" xfId="0" applyNumberFormat="1" applyFill="1" applyBorder="1"/>
    <xf numFmtId="1" fontId="0" fillId="0" borderId="40" xfId="0" applyNumberFormat="1" applyFill="1" applyBorder="1" applyAlignment="1">
      <alignment horizontal="right"/>
    </xf>
    <xf numFmtId="165" fontId="0" fillId="2" borderId="12" xfId="0" applyNumberFormat="1" applyFill="1" applyBorder="1" applyAlignment="1">
      <alignment horizontal="right"/>
    </xf>
    <xf numFmtId="3" fontId="0" fillId="0" borderId="40" xfId="0" applyNumberFormat="1" applyFill="1" applyBorder="1"/>
    <xf numFmtId="165" fontId="0" fillId="2" borderId="41" xfId="0" applyNumberFormat="1" applyFill="1" applyBorder="1" applyAlignment="1">
      <alignment horizontal="right"/>
    </xf>
    <xf numFmtId="165" fontId="0" fillId="4" borderId="41" xfId="0" applyNumberFormat="1" applyFill="1" applyBorder="1"/>
    <xf numFmtId="0" fontId="0" fillId="4" borderId="33" xfId="0" applyFill="1" applyBorder="1" applyAlignment="1">
      <alignment horizontal="centerContinuous"/>
    </xf>
    <xf numFmtId="0" fontId="0" fillId="0" borderId="3" xfId="0" applyFill="1" applyBorder="1"/>
    <xf numFmtId="0" fontId="0" fillId="3" borderId="33" xfId="0" applyFill="1" applyBorder="1" applyAlignment="1" applyProtection="1">
      <alignment horizontal="center"/>
      <protection locked="0"/>
    </xf>
    <xf numFmtId="167" fontId="0" fillId="3" borderId="33" xfId="0" applyNumberFormat="1" applyFill="1" applyBorder="1" applyAlignment="1" applyProtection="1">
      <alignment horizontal="center"/>
      <protection locked="0"/>
    </xf>
    <xf numFmtId="5" fontId="35" fillId="2" borderId="42" xfId="0" applyNumberFormat="1" applyFont="1" applyFill="1" applyBorder="1" applyAlignment="1" applyProtection="1">
      <alignment horizontal="centerContinuous" wrapText="1"/>
    </xf>
    <xf numFmtId="5" fontId="36" fillId="2" borderId="43" xfId="0" applyNumberFormat="1" applyFont="1" applyFill="1" applyBorder="1" applyAlignment="1" applyProtection="1">
      <alignment horizontal="centerContinuous" wrapText="1"/>
    </xf>
    <xf numFmtId="0" fontId="35" fillId="0" borderId="44" xfId="0" applyFont="1" applyFill="1" applyBorder="1"/>
    <xf numFmtId="0" fontId="16" fillId="0" borderId="0" xfId="2" applyAlignment="1" applyProtection="1"/>
    <xf numFmtId="0" fontId="8" fillId="4" borderId="26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centerContinuous" vertical="center"/>
    </xf>
    <xf numFmtId="0" fontId="0" fillId="4" borderId="13" xfId="0" applyFill="1" applyBorder="1" applyAlignment="1">
      <alignment horizontal="centerContinuous" vertical="center"/>
    </xf>
    <xf numFmtId="164" fontId="34" fillId="6" borderId="10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10" fillId="0" borderId="39" xfId="0" applyFont="1" applyBorder="1"/>
    <xf numFmtId="0" fontId="0" fillId="3" borderId="41" xfId="0" applyFill="1" applyBorder="1" applyAlignment="1">
      <alignment horizontal="center"/>
    </xf>
    <xf numFmtId="0" fontId="10" fillId="0" borderId="45" xfId="0" applyFont="1" applyBorder="1"/>
    <xf numFmtId="0" fontId="40" fillId="4" borderId="19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wrapText="1"/>
    </xf>
    <xf numFmtId="0" fontId="40" fillId="4" borderId="15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47" xfId="0" applyBorder="1"/>
    <xf numFmtId="0" fontId="0" fillId="0" borderId="43" xfId="0" applyBorder="1"/>
    <xf numFmtId="9" fontId="0" fillId="5" borderId="11" xfId="0" applyNumberFormat="1" applyFill="1" applyBorder="1" applyAlignment="1">
      <alignment horizontal="center" vertical="center"/>
    </xf>
    <xf numFmtId="9" fontId="0" fillId="3" borderId="11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169" fontId="7" fillId="5" borderId="10" xfId="3" applyNumberFormat="1" applyFont="1" applyFill="1" applyBorder="1" applyAlignment="1">
      <alignment horizontal="center" vertical="center"/>
    </xf>
    <xf numFmtId="169" fontId="7" fillId="3" borderId="10" xfId="3" applyNumberFormat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left" indent="1"/>
    </xf>
    <xf numFmtId="0" fontId="44" fillId="0" borderId="0" xfId="0" applyFont="1"/>
    <xf numFmtId="5" fontId="0" fillId="0" borderId="34" xfId="0" applyNumberFormat="1" applyFill="1" applyBorder="1"/>
    <xf numFmtId="0" fontId="0" fillId="0" borderId="21" xfId="0" applyFill="1" applyBorder="1"/>
    <xf numFmtId="0" fontId="0" fillId="0" borderId="29" xfId="0" applyFill="1" applyBorder="1"/>
    <xf numFmtId="165" fontId="0" fillId="0" borderId="21" xfId="0" applyNumberFormat="1" applyFill="1" applyBorder="1"/>
    <xf numFmtId="5" fontId="0" fillId="0" borderId="0" xfId="0" applyNumberFormat="1" applyFill="1" applyBorder="1"/>
    <xf numFmtId="0" fontId="10" fillId="0" borderId="7" xfId="0" applyFont="1" applyBorder="1"/>
    <xf numFmtId="0" fontId="7" fillId="0" borderId="48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22" fillId="0" borderId="0" xfId="0" applyFont="1" applyFill="1" applyBorder="1"/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6" fontId="7" fillId="5" borderId="16" xfId="0" applyNumberFormat="1" applyFont="1" applyFill="1" applyBorder="1" applyAlignment="1">
      <alignment horizontal="center" vertical="center"/>
    </xf>
    <xf numFmtId="6" fontId="7" fillId="2" borderId="16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textRotation="90" wrapText="1"/>
    </xf>
    <xf numFmtId="0" fontId="0" fillId="0" borderId="49" xfId="0" applyBorder="1"/>
    <xf numFmtId="0" fontId="0" fillId="0" borderId="50" xfId="0" applyBorder="1"/>
    <xf numFmtId="0" fontId="22" fillId="0" borderId="52" xfId="0" applyFont="1" applyBorder="1" applyAlignment="1">
      <alignment horizontal="left"/>
    </xf>
    <xf numFmtId="0" fontId="13" fillId="0" borderId="53" xfId="0" applyFont="1" applyBorder="1" applyAlignment="1">
      <alignment horizontal="center"/>
    </xf>
    <xf numFmtId="0" fontId="22" fillId="0" borderId="54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22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6" fillId="0" borderId="26" xfId="0" applyFont="1" applyFill="1" applyBorder="1" applyAlignment="1"/>
    <xf numFmtId="0" fontId="22" fillId="0" borderId="17" xfId="0" applyFont="1" applyFill="1" applyBorder="1" applyAlignment="1">
      <alignment horizontal="center" vertical="center" wrapText="1"/>
    </xf>
    <xf numFmtId="2" fontId="0" fillId="0" borderId="10" xfId="0" applyNumberFormat="1" applyFill="1" applyBorder="1"/>
    <xf numFmtId="164" fontId="0" fillId="0" borderId="10" xfId="0" applyNumberFormat="1" applyFill="1" applyBorder="1"/>
    <xf numFmtId="165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55" fillId="0" borderId="77" xfId="0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5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horizontal="left" vertical="center"/>
    </xf>
    <xf numFmtId="0" fontId="55" fillId="0" borderId="3" xfId="0" applyFont="1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27" xfId="0" applyFont="1" applyFill="1" applyBorder="1"/>
    <xf numFmtId="0" fontId="7" fillId="0" borderId="27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55" fillId="0" borderId="0" xfId="0" applyFont="1" applyFill="1" applyBorder="1"/>
    <xf numFmtId="0" fontId="55" fillId="0" borderId="9" xfId="0" applyFont="1" applyFill="1" applyBorder="1"/>
    <xf numFmtId="0" fontId="7" fillId="0" borderId="10" xfId="0" applyFont="1" applyFill="1" applyBorder="1"/>
    <xf numFmtId="43" fontId="0" fillId="0" borderId="10" xfId="12" applyFont="1" applyFill="1" applyBorder="1"/>
    <xf numFmtId="0" fontId="55" fillId="0" borderId="77" xfId="0" applyFont="1" applyFill="1" applyBorder="1"/>
    <xf numFmtId="0" fontId="55" fillId="0" borderId="4" xfId="0" applyFont="1" applyFill="1" applyBorder="1" applyAlignment="1">
      <alignment horizontal="left" vertical="center" wrapText="1"/>
    </xf>
    <xf numFmtId="0" fontId="55" fillId="0" borderId="5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0" fontId="55" fillId="0" borderId="3" xfId="0" applyFont="1" applyFill="1" applyBorder="1"/>
    <xf numFmtId="0" fontId="22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2" fontId="0" fillId="10" borderId="16" xfId="0" applyNumberFormat="1" applyFill="1" applyBorder="1" applyAlignment="1">
      <alignment horizontal="center"/>
    </xf>
    <xf numFmtId="2" fontId="0" fillId="10" borderId="10" xfId="0" applyNumberFormat="1" applyFill="1" applyBorder="1" applyAlignment="1" applyProtection="1">
      <alignment horizontal="centerContinuous"/>
    </xf>
    <xf numFmtId="2" fontId="0" fillId="10" borderId="11" xfId="0" applyNumberFormat="1" applyFill="1" applyBorder="1" applyAlignment="1" applyProtection="1">
      <alignment horizontal="centerContinuous"/>
    </xf>
    <xf numFmtId="2" fontId="0" fillId="10" borderId="24" xfId="0" applyNumberFormat="1" applyFill="1" applyBorder="1" applyAlignment="1" applyProtection="1">
      <alignment horizontal="centerContinuous"/>
    </xf>
    <xf numFmtId="0" fontId="18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0" applyFont="1" applyFill="1" applyAlignment="1">
      <alignment vertical="center"/>
    </xf>
    <xf numFmtId="0" fontId="0" fillId="0" borderId="13" xfId="0" applyFill="1" applyBorder="1"/>
    <xf numFmtId="0" fontId="0" fillId="0" borderId="14" xfId="0" applyFill="1" applyBorder="1"/>
    <xf numFmtId="0" fontId="51" fillId="0" borderId="9" xfId="0" applyFont="1" applyFill="1" applyBorder="1"/>
    <xf numFmtId="172" fontId="0" fillId="0" borderId="0" xfId="12" applyNumberFormat="1" applyFont="1" applyFill="1" applyBorder="1"/>
    <xf numFmtId="172" fontId="0" fillId="0" borderId="14" xfId="12" applyNumberFormat="1" applyFont="1" applyFill="1" applyBorder="1"/>
    <xf numFmtId="172" fontId="7" fillId="0" borderId="0" xfId="12" applyNumberFormat="1" applyFont="1" applyFill="1" applyBorder="1"/>
    <xf numFmtId="172" fontId="7" fillId="0" borderId="14" xfId="12" applyNumberFormat="1" applyFont="1" applyFill="1" applyBorder="1"/>
    <xf numFmtId="0" fontId="0" fillId="0" borderId="1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56" fillId="0" borderId="14" xfId="0" applyFont="1" applyFill="1" applyBorder="1"/>
    <xf numFmtId="43" fontId="0" fillId="0" borderId="14" xfId="0" applyNumberForma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5" xfId="0" applyFill="1" applyBorder="1"/>
    <xf numFmtId="0" fontId="22" fillId="0" borderId="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2" fontId="0" fillId="0" borderId="4" xfId="0" applyNumberFormat="1" applyFill="1" applyBorder="1"/>
    <xf numFmtId="0" fontId="51" fillId="0" borderId="26" xfId="0" applyFont="1" applyFill="1" applyBorder="1"/>
    <xf numFmtId="0" fontId="7" fillId="0" borderId="0" xfId="0" applyFont="1" applyFill="1"/>
    <xf numFmtId="0" fontId="0" fillId="0" borderId="0" xfId="0" applyFill="1" applyBorder="1" applyAlignment="1">
      <alignment horizontal="center"/>
    </xf>
    <xf numFmtId="0" fontId="50" fillId="0" borderId="27" xfId="13" applyFont="1" applyFill="1" applyBorder="1" applyAlignment="1">
      <alignment horizontal="center" vertical="center" wrapText="1"/>
    </xf>
    <xf numFmtId="0" fontId="50" fillId="0" borderId="10" xfId="13" applyFont="1" applyFill="1" applyBorder="1" applyAlignment="1">
      <alignment horizontal="center" vertical="center" wrapText="1"/>
    </xf>
    <xf numFmtId="0" fontId="50" fillId="0" borderId="11" xfId="13" applyFont="1" applyFill="1" applyBorder="1" applyAlignment="1">
      <alignment horizontal="center" vertical="center" wrapText="1"/>
    </xf>
    <xf numFmtId="0" fontId="1" fillId="0" borderId="27" xfId="13" applyFill="1" applyBorder="1" applyAlignment="1">
      <alignment horizontal="center"/>
    </xf>
    <xf numFmtId="164" fontId="1" fillId="0" borderId="10" xfId="13" applyNumberFormat="1" applyFill="1" applyBorder="1"/>
    <xf numFmtId="164" fontId="1" fillId="0" borderId="11" xfId="13" applyNumberFormat="1" applyFill="1" applyBorder="1"/>
    <xf numFmtId="0" fontId="0" fillId="0" borderId="30" xfId="0" applyFill="1" applyBorder="1"/>
    <xf numFmtId="0" fontId="0" fillId="0" borderId="20" xfId="0" applyFill="1" applyBorder="1"/>
    <xf numFmtId="0" fontId="0" fillId="0" borderId="32" xfId="0" applyFill="1" applyBorder="1"/>
    <xf numFmtId="0" fontId="0" fillId="0" borderId="34" xfId="0" applyFill="1" applyBorder="1"/>
    <xf numFmtId="0" fontId="0" fillId="11" borderId="29" xfId="0" applyFill="1" applyBorder="1" applyAlignment="1">
      <alignment horizontal="center"/>
    </xf>
    <xf numFmtId="0" fontId="0" fillId="11" borderId="46" xfId="0" applyFill="1" applyBorder="1" applyAlignment="1">
      <alignment horizontal="center"/>
    </xf>
    <xf numFmtId="167" fontId="0" fillId="12" borderId="1" xfId="0" applyNumberFormat="1" applyFill="1" applyBorder="1" applyAlignment="1" applyProtection="1">
      <alignment horizontal="center"/>
      <protection locked="0"/>
    </xf>
    <xf numFmtId="5" fontId="7" fillId="12" borderId="51" xfId="0" applyNumberFormat="1" applyFont="1" applyFill="1" applyBorder="1" applyAlignment="1" applyProtection="1">
      <alignment horizontal="center"/>
      <protection locked="0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7" fillId="7" borderId="58" xfId="0" applyFont="1" applyFill="1" applyBorder="1" applyAlignment="1">
      <alignment horizontal="center" vertical="center" textRotation="90" wrapText="1"/>
    </xf>
    <xf numFmtId="0" fontId="37" fillId="7" borderId="59" xfId="0" applyFont="1" applyFill="1" applyBorder="1" applyAlignment="1">
      <alignment horizontal="center" vertical="center" textRotation="90" wrapText="1"/>
    </xf>
    <xf numFmtId="0" fontId="37" fillId="7" borderId="59" xfId="0" applyFont="1" applyFill="1" applyBorder="1" applyAlignment="1">
      <alignment horizontal="center" vertical="center" textRotation="90"/>
    </xf>
    <xf numFmtId="0" fontId="37" fillId="7" borderId="60" xfId="0" applyFont="1" applyFill="1" applyBorder="1" applyAlignment="1">
      <alignment horizontal="center" textRotation="90"/>
    </xf>
    <xf numFmtId="0" fontId="22" fillId="0" borderId="61" xfId="0" applyFont="1" applyFill="1" applyBorder="1" applyAlignment="1">
      <alignment horizontal="center" vertical="center" textRotation="90" wrapText="1"/>
    </xf>
    <xf numFmtId="0" fontId="22" fillId="0" borderId="62" xfId="0" applyFont="1" applyFill="1" applyBorder="1" applyAlignment="1">
      <alignment horizontal="center" vertical="center" textRotation="90" wrapText="1"/>
    </xf>
    <xf numFmtId="0" fontId="15" fillId="0" borderId="62" xfId="0" applyFont="1" applyFill="1" applyBorder="1" applyAlignment="1">
      <alignment horizontal="center" textRotation="90" wrapText="1"/>
    </xf>
    <xf numFmtId="0" fontId="22" fillId="0" borderId="0" xfId="0" applyFont="1" applyFill="1" applyBorder="1" applyAlignment="1">
      <alignment horizontal="center" textRotation="90" wrapText="1"/>
    </xf>
    <xf numFmtId="0" fontId="22" fillId="0" borderId="1" xfId="0" applyFont="1" applyFill="1" applyBorder="1" applyAlignment="1">
      <alignment horizontal="center" textRotation="90" wrapText="1"/>
    </xf>
    <xf numFmtId="0" fontId="22" fillId="0" borderId="15" xfId="0" applyFont="1" applyFill="1" applyBorder="1" applyAlignment="1">
      <alignment horizontal="center" textRotation="90"/>
    </xf>
    <xf numFmtId="0" fontId="22" fillId="0" borderId="26" xfId="0" applyFont="1" applyFill="1" applyBorder="1" applyAlignment="1">
      <alignment horizontal="center" vertical="center" textRotation="90" wrapText="1"/>
    </xf>
    <xf numFmtId="0" fontId="22" fillId="0" borderId="9" xfId="0" applyFont="1" applyFill="1" applyBorder="1" applyAlignment="1">
      <alignment horizontal="center" vertical="center" textRotation="90" wrapText="1"/>
    </xf>
    <xf numFmtId="0" fontId="22" fillId="0" borderId="6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/>
    </xf>
    <xf numFmtId="165" fontId="28" fillId="0" borderId="2" xfId="0" applyNumberFormat="1" applyFont="1" applyFill="1" applyBorder="1" applyAlignment="1">
      <alignment horizontal="center" vertical="center" textRotation="90" wrapText="1"/>
    </xf>
    <xf numFmtId="165" fontId="28" fillId="0" borderId="0" xfId="0" applyNumberFormat="1" applyFont="1" applyFill="1" applyBorder="1" applyAlignment="1">
      <alignment horizontal="center" vertical="center" textRotation="90" wrapText="1"/>
    </xf>
    <xf numFmtId="0" fontId="40" fillId="4" borderId="63" xfId="0" applyFont="1" applyFill="1" applyBorder="1" applyAlignment="1">
      <alignment horizontal="center" vertical="center" wrapText="1"/>
    </xf>
    <xf numFmtId="0" fontId="40" fillId="4" borderId="17" xfId="0" applyFont="1" applyFill="1" applyBorder="1" applyAlignment="1">
      <alignment horizontal="center" vertical="center" wrapText="1"/>
    </xf>
    <xf numFmtId="0" fontId="40" fillId="4" borderId="17" xfId="0" applyFont="1" applyFill="1" applyBorder="1" applyAlignment="1">
      <alignment horizontal="center" vertical="center"/>
    </xf>
    <xf numFmtId="0" fontId="40" fillId="4" borderId="38" xfId="0" applyFont="1" applyFill="1" applyBorder="1" applyAlignment="1">
      <alignment horizontal="center" wrapText="1"/>
    </xf>
    <xf numFmtId="0" fontId="40" fillId="4" borderId="64" xfId="0" applyFont="1" applyFill="1" applyBorder="1" applyAlignment="1">
      <alignment horizontal="center" wrapText="1"/>
    </xf>
    <xf numFmtId="0" fontId="40" fillId="4" borderId="65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textRotation="90" wrapText="1"/>
    </xf>
    <xf numFmtId="0" fontId="20" fillId="0" borderId="39" xfId="0" applyFont="1" applyFill="1" applyBorder="1" applyAlignment="1">
      <alignment horizontal="left" wrapText="1"/>
    </xf>
    <xf numFmtId="0" fontId="20" fillId="0" borderId="40" xfId="0" applyFont="1" applyFill="1" applyBorder="1" applyAlignment="1">
      <alignment horizontal="left" wrapText="1"/>
    </xf>
    <xf numFmtId="0" fontId="20" fillId="0" borderId="46" xfId="0" applyFont="1" applyFill="1" applyBorder="1" applyAlignment="1">
      <alignment horizontal="left" wrapText="1"/>
    </xf>
    <xf numFmtId="0" fontId="22" fillId="0" borderId="64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textRotation="90" wrapText="1"/>
    </xf>
    <xf numFmtId="0" fontId="27" fillId="0" borderId="67" xfId="0" applyFont="1" applyFill="1" applyBorder="1" applyAlignment="1">
      <alignment horizontal="center" vertical="center" textRotation="90" wrapText="1"/>
    </xf>
    <xf numFmtId="0" fontId="27" fillId="0" borderId="67" xfId="0" applyFont="1" applyFill="1" applyBorder="1" applyAlignment="1">
      <alignment horizontal="center" vertical="center" textRotation="90"/>
    </xf>
    <xf numFmtId="0" fontId="31" fillId="0" borderId="68" xfId="0" applyFont="1" applyFill="1" applyBorder="1" applyAlignment="1">
      <alignment horizontal="center" textRotation="90"/>
    </xf>
    <xf numFmtId="165" fontId="28" fillId="0" borderId="1" xfId="0" applyNumberFormat="1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textRotation="90"/>
    </xf>
    <xf numFmtId="0" fontId="10" fillId="4" borderId="64" xfId="0" applyFont="1" applyFill="1" applyBorder="1" applyAlignment="1">
      <alignment horizontal="center" vertical="center"/>
    </xf>
    <xf numFmtId="0" fontId="10" fillId="0" borderId="64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22" fillId="0" borderId="75" xfId="0" applyFont="1" applyFill="1" applyBorder="1" applyAlignment="1">
      <alignment horizontal="center" vertical="center" textRotation="90" wrapText="1"/>
    </xf>
    <xf numFmtId="0" fontId="22" fillId="0" borderId="76" xfId="0" applyFont="1" applyFill="1" applyBorder="1" applyAlignment="1">
      <alignment horizontal="center" vertical="center" textRotation="90" wrapText="1"/>
    </xf>
    <xf numFmtId="0" fontId="15" fillId="0" borderId="76" xfId="0" applyFont="1" applyFill="1" applyBorder="1" applyAlignment="1">
      <alignment horizontal="center" textRotation="90" wrapText="1"/>
    </xf>
    <xf numFmtId="0" fontId="40" fillId="4" borderId="10" xfId="0" applyFont="1" applyFill="1" applyBorder="1" applyAlignment="1">
      <alignment horizontal="center" vertical="center" wrapText="1"/>
    </xf>
    <xf numFmtId="0" fontId="40" fillId="4" borderId="19" xfId="0" applyFont="1" applyFill="1" applyBorder="1" applyAlignment="1">
      <alignment horizontal="center"/>
    </xf>
    <xf numFmtId="0" fontId="41" fillId="0" borderId="19" xfId="0" applyFont="1" applyBorder="1"/>
    <xf numFmtId="0" fontId="40" fillId="4" borderId="15" xfId="0" applyFont="1" applyFill="1" applyBorder="1" applyAlignment="1">
      <alignment horizontal="center"/>
    </xf>
    <xf numFmtId="0" fontId="41" fillId="0" borderId="15" xfId="0" applyFont="1" applyBorder="1"/>
    <xf numFmtId="0" fontId="15" fillId="0" borderId="25" xfId="0" applyFont="1" applyFill="1" applyBorder="1" applyAlignment="1">
      <alignment horizontal="center" textRotation="90" wrapText="1"/>
    </xf>
    <xf numFmtId="8" fontId="30" fillId="9" borderId="18" xfId="1" applyFont="1" applyFill="1" applyBorder="1" applyAlignment="1">
      <alignment horizontal="center" vertical="center" wrapText="1"/>
    </xf>
    <xf numFmtId="0" fontId="0" fillId="9" borderId="25" xfId="0" applyFill="1" applyBorder="1" applyAlignment="1"/>
    <xf numFmtId="8" fontId="30" fillId="9" borderId="45" xfId="1" applyFont="1" applyFill="1" applyBorder="1" applyAlignment="1">
      <alignment horizontal="center" vertical="center" wrapText="1"/>
    </xf>
    <xf numFmtId="0" fontId="0" fillId="9" borderId="64" xfId="0" applyFill="1" applyBorder="1" applyAlignment="1"/>
    <xf numFmtId="0" fontId="0" fillId="9" borderId="65" xfId="0" applyFill="1" applyBorder="1" applyAlignment="1"/>
    <xf numFmtId="8" fontId="42" fillId="4" borderId="57" xfId="1" applyFont="1" applyFill="1" applyBorder="1" applyAlignment="1">
      <alignment horizontal="center" vertical="center" wrapText="1"/>
    </xf>
    <xf numFmtId="8" fontId="42" fillId="4" borderId="11" xfId="1" applyFont="1" applyFill="1" applyBorder="1" applyAlignment="1">
      <alignment horizontal="center" vertical="center" wrapText="1"/>
    </xf>
    <xf numFmtId="8" fontId="42" fillId="4" borderId="69" xfId="1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wrapText="1"/>
    </xf>
    <xf numFmtId="8" fontId="22" fillId="0" borderId="36" xfId="1" applyFont="1" applyFill="1" applyBorder="1" applyAlignment="1">
      <alignment horizontal="center" vertical="center" textRotation="90" wrapText="1"/>
    </xf>
    <xf numFmtId="8" fontId="30" fillId="0" borderId="10" xfId="1" applyFont="1" applyFill="1" applyBorder="1" applyAlignment="1">
      <alignment horizontal="center" vertical="center" textRotation="90" wrapText="1"/>
    </xf>
    <xf numFmtId="8" fontId="30" fillId="0" borderId="48" xfId="1" applyFont="1" applyFill="1" applyBorder="1" applyAlignment="1">
      <alignment horizontal="center" vertical="center" textRotation="90" wrapText="1"/>
    </xf>
    <xf numFmtId="8" fontId="30" fillId="0" borderId="36" xfId="1" applyFont="1" applyFill="1" applyBorder="1" applyAlignment="1">
      <alignment horizontal="center" vertical="center" textRotation="90" wrapText="1"/>
    </xf>
    <xf numFmtId="0" fontId="40" fillId="4" borderId="36" xfId="0" applyFont="1" applyFill="1" applyBorder="1" applyAlignment="1">
      <alignment horizontal="center" vertical="center" wrapText="1"/>
    </xf>
    <xf numFmtId="0" fontId="40" fillId="4" borderId="48" xfId="0" applyFont="1" applyFill="1" applyBorder="1" applyAlignment="1">
      <alignment horizontal="center" vertical="center" wrapText="1"/>
    </xf>
    <xf numFmtId="8" fontId="22" fillId="0" borderId="10" xfId="1" applyFont="1" applyFill="1" applyBorder="1" applyAlignment="1">
      <alignment horizontal="center" vertical="center" textRotation="90" wrapText="1"/>
    </xf>
    <xf numFmtId="8" fontId="22" fillId="0" borderId="48" xfId="1" applyFont="1" applyFill="1" applyBorder="1" applyAlignment="1">
      <alignment horizontal="center" vertical="center" textRotation="90" wrapText="1"/>
    </xf>
    <xf numFmtId="8" fontId="42" fillId="4" borderId="36" xfId="1" applyFont="1" applyFill="1" applyBorder="1" applyAlignment="1">
      <alignment horizontal="center" vertical="center" textRotation="90" wrapText="1"/>
    </xf>
    <xf numFmtId="8" fontId="42" fillId="4" borderId="10" xfId="1" applyFont="1" applyFill="1" applyBorder="1" applyAlignment="1">
      <alignment horizontal="center" vertical="center" textRotation="90" wrapText="1"/>
    </xf>
    <xf numFmtId="8" fontId="42" fillId="4" borderId="48" xfId="1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wrapText="1"/>
    </xf>
    <xf numFmtId="8" fontId="30" fillId="0" borderId="77" xfId="1" applyFont="1" applyFill="1" applyBorder="1" applyAlignment="1">
      <alignment horizontal="center" vertical="center" textRotation="90" wrapText="1"/>
    </xf>
    <xf numFmtId="0" fontId="0" fillId="0" borderId="77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8" fontId="30" fillId="0" borderId="17" xfId="1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7" fillId="4" borderId="70" xfId="0" applyFont="1" applyFill="1" applyBorder="1" applyAlignment="1">
      <alignment horizontal="left"/>
    </xf>
    <xf numFmtId="0" fontId="0" fillId="8" borderId="71" xfId="0" applyFill="1" applyBorder="1" applyAlignment="1"/>
    <xf numFmtId="0" fontId="0" fillId="8" borderId="72" xfId="0" applyFill="1" applyBorder="1" applyAlignment="1"/>
    <xf numFmtId="0" fontId="10" fillId="4" borderId="45" xfId="0" applyFont="1" applyFill="1" applyBorder="1" applyAlignment="1">
      <alignment horizontal="center" wrapText="1"/>
    </xf>
    <xf numFmtId="0" fontId="10" fillId="0" borderId="64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0" fontId="26" fillId="9" borderId="39" xfId="0" applyFont="1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9" borderId="40" xfId="0" applyFill="1" applyBorder="1" applyAlignment="1"/>
    <xf numFmtId="0" fontId="0" fillId="9" borderId="43" xfId="0" applyFill="1" applyBorder="1" applyAlignment="1"/>
    <xf numFmtId="0" fontId="39" fillId="7" borderId="59" xfId="0" applyFont="1" applyFill="1" applyBorder="1" applyAlignment="1">
      <alignment horizontal="center" textRotation="90"/>
    </xf>
    <xf numFmtId="0" fontId="39" fillId="7" borderId="60" xfId="0" applyFont="1" applyFill="1" applyBorder="1" applyAlignment="1">
      <alignment horizontal="center" textRotation="90"/>
    </xf>
    <xf numFmtId="0" fontId="38" fillId="7" borderId="63" xfId="0" applyFont="1" applyFill="1" applyBorder="1" applyAlignment="1">
      <alignment horizontal="center" textRotation="90" wrapText="1"/>
    </xf>
    <xf numFmtId="0" fontId="39" fillId="7" borderId="17" xfId="0" applyFont="1" applyFill="1" applyBorder="1" applyAlignment="1">
      <alignment horizontal="center" textRotation="90"/>
    </xf>
    <xf numFmtId="0" fontId="39" fillId="7" borderId="18" xfId="0" applyFont="1" applyFill="1" applyBorder="1" applyAlignment="1">
      <alignment horizontal="center" textRotation="90"/>
    </xf>
    <xf numFmtId="0" fontId="22" fillId="0" borderId="73" xfId="0" applyFont="1" applyFill="1" applyBorder="1" applyAlignment="1">
      <alignment horizontal="center" vertical="center" textRotation="90" wrapText="1"/>
    </xf>
    <xf numFmtId="0" fontId="22" fillId="0" borderId="74" xfId="0" applyFont="1" applyFill="1" applyBorder="1" applyAlignment="1">
      <alignment horizontal="center" vertical="center" textRotation="90" wrapText="1"/>
    </xf>
    <xf numFmtId="0" fontId="29" fillId="0" borderId="66" xfId="0" applyFont="1" applyFill="1" applyBorder="1" applyAlignment="1">
      <alignment horizontal="center" vertical="center" textRotation="90" wrapText="1"/>
    </xf>
    <xf numFmtId="0" fontId="29" fillId="0" borderId="67" xfId="0" applyFont="1" applyFill="1" applyBorder="1" applyAlignment="1">
      <alignment horizontal="center" vertical="center" textRotation="90" wrapText="1"/>
    </xf>
    <xf numFmtId="0" fontId="29" fillId="0" borderId="67" xfId="0" applyFont="1" applyFill="1" applyBorder="1" applyAlignment="1">
      <alignment horizontal="center" vertical="center" textRotation="90"/>
    </xf>
    <xf numFmtId="0" fontId="32" fillId="0" borderId="68" xfId="0" applyFont="1" applyFill="1" applyBorder="1" applyAlignment="1">
      <alignment horizontal="center" textRotation="90"/>
    </xf>
    <xf numFmtId="0" fontId="38" fillId="7" borderId="22" xfId="0" applyFont="1" applyFill="1" applyBorder="1" applyAlignment="1">
      <alignment horizontal="center" textRotation="90" wrapText="1"/>
    </xf>
    <xf numFmtId="0" fontId="38" fillId="7" borderId="15" xfId="0" applyFont="1" applyFill="1" applyBorder="1" applyAlignment="1">
      <alignment horizontal="center" textRotation="90" wrapText="1"/>
    </xf>
    <xf numFmtId="0" fontId="38" fillId="7" borderId="15" xfId="0" applyFont="1" applyFill="1" applyBorder="1" applyAlignment="1">
      <alignment horizontal="center" textRotation="90"/>
    </xf>
    <xf numFmtId="0" fontId="38" fillId="7" borderId="29" xfId="0" applyFont="1" applyFill="1" applyBorder="1" applyAlignment="1">
      <alignment horizontal="center" textRotation="90"/>
    </xf>
    <xf numFmtId="8" fontId="40" fillId="4" borderId="10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8" fontId="30" fillId="0" borderId="19" xfId="1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8" fontId="30" fillId="0" borderId="11" xfId="1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" fillId="0" borderId="0" xfId="13" applyFill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0" xfId="13" applyFont="1" applyFill="1" applyAlignment="1">
      <alignment horizontal="left"/>
    </xf>
    <xf numFmtId="0" fontId="1" fillId="0" borderId="0" xfId="13" applyFill="1" applyAlignment="1">
      <alignment horizontal="left"/>
    </xf>
    <xf numFmtId="0" fontId="55" fillId="0" borderId="9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50" fillId="0" borderId="35" xfId="13" applyFont="1" applyFill="1" applyBorder="1" applyAlignment="1">
      <alignment horizontal="center"/>
    </xf>
    <xf numFmtId="0" fontId="50" fillId="0" borderId="36" xfId="13" applyFont="1" applyFill="1" applyBorder="1" applyAlignment="1">
      <alignment horizontal="center"/>
    </xf>
    <xf numFmtId="0" fontId="50" fillId="0" borderId="57" xfId="13" applyFont="1" applyFill="1" applyBorder="1" applyAlignment="1">
      <alignment horizontal="center"/>
    </xf>
  </cellXfs>
  <cellStyles count="14">
    <cellStyle name="Comma" xfId="12" builtinId="3"/>
    <cellStyle name="Currency" xfId="1" builtinId="4"/>
    <cellStyle name="Hyperlink" xfId="2" builtinId="8"/>
    <cellStyle name="Hyperlink 2" xfId="7" xr:uid="{00000000-0005-0000-0000-000003000000}"/>
    <cellStyle name="Hyperlink 3" xfId="8" xr:uid="{00000000-0005-0000-0000-000004000000}"/>
    <cellStyle name="Hyperlink 4" xfId="6" xr:uid="{00000000-0005-0000-0000-000005000000}"/>
    <cellStyle name="Normal" xfId="0" builtinId="0"/>
    <cellStyle name="Normal 2" xfId="4" xr:uid="{00000000-0005-0000-0000-000007000000}"/>
    <cellStyle name="Normal 2 2" xfId="10" xr:uid="{00000000-0005-0000-0000-000008000000}"/>
    <cellStyle name="Normal 3" xfId="9" xr:uid="{00000000-0005-0000-0000-000009000000}"/>
    <cellStyle name="Normal 4" xfId="5" xr:uid="{00000000-0005-0000-0000-00000A000000}"/>
    <cellStyle name="Normal 7" xfId="13" xr:uid="{00000000-0005-0000-0000-00000B000000}"/>
    <cellStyle name="Percent" xfId="3" builtinId="5"/>
    <cellStyle name="Percent 2" xfId="11" xr:uid="{00000000-0005-0000-0000-00000D000000}"/>
  </cellStyles>
  <dxfs count="7">
    <dxf>
      <font>
        <b/>
        <i val="0"/>
        <condense val="0"/>
        <extend val="0"/>
        <color indexed="10"/>
      </font>
      <fill>
        <patternFill>
          <bgColor indexed="63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aqmd.gov/tfca4p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tabSelected="1" workbookViewId="0">
      <selection activeCell="A8" sqref="A8"/>
    </sheetView>
  </sheetViews>
  <sheetFormatPr defaultColWidth="8.640625" defaultRowHeight="12.4" x14ac:dyDescent="0.35"/>
  <sheetData>
    <row r="1" spans="1:1" ht="22.5" x14ac:dyDescent="0.6">
      <c r="A1" s="43" t="s">
        <v>127</v>
      </c>
    </row>
    <row r="2" spans="1:1" ht="22.5" x14ac:dyDescent="0.6">
      <c r="A2" s="234" t="s">
        <v>271</v>
      </c>
    </row>
    <row r="3" spans="1:1" x14ac:dyDescent="0.35">
      <c r="A3" s="218" t="s">
        <v>273</v>
      </c>
    </row>
    <row r="5" spans="1:1" ht="12.75" x14ac:dyDescent="0.35">
      <c r="A5" s="232" t="s">
        <v>270</v>
      </c>
    </row>
    <row r="6" spans="1:1" x14ac:dyDescent="0.35">
      <c r="A6" s="181" t="s">
        <v>182</v>
      </c>
    </row>
  </sheetData>
  <phoneticPr fontId="14" type="noConversion"/>
  <hyperlinks>
    <hyperlink ref="A6" r:id="rId1" xr:uid="{00000000-0004-0000-0000-000000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A29" sqref="A29"/>
    </sheetView>
  </sheetViews>
  <sheetFormatPr defaultColWidth="8.640625" defaultRowHeight="12.4" x14ac:dyDescent="0.35"/>
  <cols>
    <col min="1" max="1" width="30" customWidth="1"/>
    <col min="2" max="2" width="61" customWidth="1"/>
  </cols>
  <sheetData>
    <row r="1" spans="1:2" ht="17.649999999999999" x14ac:dyDescent="0.5">
      <c r="A1" s="124" t="s">
        <v>127</v>
      </c>
      <c r="B1" s="1"/>
    </row>
    <row r="2" spans="1:2" ht="17.649999999999999" x14ac:dyDescent="0.5">
      <c r="A2" s="124" t="s">
        <v>272</v>
      </c>
      <c r="B2" s="1"/>
    </row>
    <row r="3" spans="1:2" x14ac:dyDescent="0.35">
      <c r="A3" s="218" t="s">
        <v>273</v>
      </c>
      <c r="B3" s="44"/>
    </row>
    <row r="4" spans="1:2" x14ac:dyDescent="0.35">
      <c r="A4" s="45"/>
      <c r="B4" s="44"/>
    </row>
    <row r="5" spans="1:2" ht="18" customHeight="1" x14ac:dyDescent="0.35">
      <c r="A5" s="46" t="s">
        <v>8</v>
      </c>
      <c r="B5" s="44"/>
    </row>
    <row r="6" spans="1:2" ht="18" customHeight="1" x14ac:dyDescent="0.35">
      <c r="A6" s="47"/>
      <c r="B6" s="46"/>
    </row>
    <row r="7" spans="1:2" ht="18" customHeight="1" x14ac:dyDescent="0.35">
      <c r="A7" s="217" t="s">
        <v>269</v>
      </c>
      <c r="B7" s="48"/>
    </row>
    <row r="8" spans="1:2" ht="18" customHeight="1" x14ac:dyDescent="0.35">
      <c r="A8" s="49" t="s">
        <v>9</v>
      </c>
      <c r="B8" s="48"/>
    </row>
    <row r="9" spans="1:2" ht="18" customHeight="1" x14ac:dyDescent="0.35">
      <c r="A9" s="49" t="s">
        <v>10</v>
      </c>
      <c r="B9" s="48"/>
    </row>
    <row r="10" spans="1:2" ht="18" customHeight="1" x14ac:dyDescent="0.35">
      <c r="A10" s="49" t="s">
        <v>159</v>
      </c>
      <c r="B10" s="48"/>
    </row>
    <row r="11" spans="1:2" ht="18" customHeight="1" x14ac:dyDescent="0.35">
      <c r="A11" s="50" t="s">
        <v>11</v>
      </c>
      <c r="B11" s="48"/>
    </row>
    <row r="12" spans="1:2" ht="18" customHeight="1" x14ac:dyDescent="0.35">
      <c r="A12" s="51" t="s">
        <v>12</v>
      </c>
      <c r="B12" s="52"/>
    </row>
    <row r="13" spans="1:2" ht="18" customHeight="1" x14ac:dyDescent="0.35">
      <c r="A13" s="53" t="s">
        <v>13</v>
      </c>
      <c r="B13" s="54"/>
    </row>
    <row r="14" spans="1:2" ht="18" customHeight="1" x14ac:dyDescent="0.35">
      <c r="A14" s="55" t="s">
        <v>14</v>
      </c>
      <c r="B14" s="56"/>
    </row>
    <row r="15" spans="1:2" ht="18" customHeight="1" x14ac:dyDescent="0.35">
      <c r="A15" s="55" t="s">
        <v>15</v>
      </c>
      <c r="B15" s="56"/>
    </row>
    <row r="16" spans="1:2" ht="18" customHeight="1" x14ac:dyDescent="0.35">
      <c r="A16" s="55" t="s">
        <v>16</v>
      </c>
      <c r="B16" s="56"/>
    </row>
    <row r="17" spans="1:2" ht="18" customHeight="1" x14ac:dyDescent="0.35">
      <c r="A17" s="55" t="s">
        <v>17</v>
      </c>
      <c r="B17" s="56"/>
    </row>
    <row r="18" spans="1:2" ht="18" customHeight="1" x14ac:dyDescent="0.35">
      <c r="A18" s="55" t="s">
        <v>18</v>
      </c>
      <c r="B18" s="57"/>
    </row>
    <row r="19" spans="1:2" ht="18" customHeight="1" x14ac:dyDescent="0.35">
      <c r="A19" s="55" t="s">
        <v>19</v>
      </c>
      <c r="B19" s="56"/>
    </row>
    <row r="20" spans="1:2" ht="18" customHeight="1" x14ac:dyDescent="0.35">
      <c r="A20" s="55" t="s">
        <v>20</v>
      </c>
      <c r="B20" s="56"/>
    </row>
    <row r="21" spans="1:2" ht="18" customHeight="1" x14ac:dyDescent="0.35">
      <c r="A21" s="55" t="s">
        <v>21</v>
      </c>
      <c r="B21" s="56" t="s">
        <v>22</v>
      </c>
    </row>
    <row r="22" spans="1:2" ht="18" customHeight="1" x14ac:dyDescent="0.35">
      <c r="A22" s="58" t="s">
        <v>23</v>
      </c>
      <c r="B22" s="59"/>
    </row>
    <row r="23" spans="1:2" ht="18" customHeight="1" x14ac:dyDescent="0.35">
      <c r="A23" s="53" t="s">
        <v>24</v>
      </c>
      <c r="B23" s="60"/>
    </row>
    <row r="24" spans="1:2" ht="18" customHeight="1" x14ac:dyDescent="0.35">
      <c r="A24" s="61" t="s">
        <v>25</v>
      </c>
      <c r="B24" s="62"/>
    </row>
    <row r="25" spans="1:2" ht="18" customHeight="1" x14ac:dyDescent="0.35">
      <c r="A25" s="61" t="s">
        <v>26</v>
      </c>
      <c r="B25" s="62"/>
    </row>
    <row r="26" spans="1:2" ht="18" customHeight="1" x14ac:dyDescent="0.35">
      <c r="A26" s="63" t="s">
        <v>27</v>
      </c>
      <c r="B26" s="62"/>
    </row>
  </sheetData>
  <protectedRanges>
    <protectedRange sqref="B11:B26" name="Range1"/>
  </protectedRanges>
  <phoneticPr fontId="1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92"/>
  <sheetViews>
    <sheetView zoomScaleNormal="100" workbookViewId="0">
      <selection activeCell="A42" sqref="A42"/>
    </sheetView>
  </sheetViews>
  <sheetFormatPr defaultColWidth="8.640625" defaultRowHeight="12.4" x14ac:dyDescent="0.35"/>
  <cols>
    <col min="1" max="1" width="7.85546875" customWidth="1"/>
    <col min="2" max="2" width="14.35546875" customWidth="1"/>
    <col min="3" max="3" width="6" customWidth="1"/>
    <col min="4" max="4" width="6.85546875" customWidth="1"/>
    <col min="5" max="5" width="6" customWidth="1"/>
    <col min="6" max="6" width="7.640625" customWidth="1"/>
    <col min="7" max="7" width="7.5703125" customWidth="1"/>
    <col min="8" max="8" width="10.640625" customWidth="1"/>
    <col min="9" max="9" width="8.640625" customWidth="1"/>
    <col min="10" max="10" width="10.42578125" customWidth="1"/>
    <col min="11" max="11" width="8.5703125" customWidth="1"/>
    <col min="12" max="14" width="6.640625" customWidth="1"/>
    <col min="15" max="15" width="13" customWidth="1"/>
    <col min="16" max="16" width="12.42578125" customWidth="1"/>
    <col min="17" max="17" width="9.85546875" customWidth="1"/>
    <col min="18" max="18" width="11.640625" customWidth="1"/>
    <col min="19" max="19" width="10" customWidth="1"/>
    <col min="20" max="20" width="12.640625" bestFit="1" customWidth="1"/>
    <col min="21" max="21" width="8" hidden="1" customWidth="1"/>
    <col min="22" max="22" width="6.35546875" hidden="1" customWidth="1"/>
    <col min="23" max="23" width="6.42578125" hidden="1" customWidth="1"/>
    <col min="24" max="24" width="6.140625" hidden="1" customWidth="1"/>
    <col min="25" max="25" width="6" customWidth="1"/>
    <col min="26" max="26" width="8.85546875" customWidth="1"/>
    <col min="27" max="27" width="10.35546875" hidden="1" customWidth="1"/>
    <col min="28" max="28" width="10.35546875" customWidth="1"/>
    <col min="29" max="33" width="8.35546875" customWidth="1"/>
    <col min="34" max="34" width="6.85546875" hidden="1" customWidth="1"/>
    <col min="35" max="35" width="7" hidden="1" customWidth="1"/>
    <col min="36" max="36" width="7.140625" hidden="1" customWidth="1"/>
    <col min="37" max="37" width="7" hidden="1" customWidth="1"/>
    <col min="38" max="38" width="8.5703125" hidden="1" customWidth="1"/>
    <col min="39" max="39" width="12.640625" customWidth="1"/>
    <col min="40" max="40" width="8" hidden="1" customWidth="1"/>
    <col min="41" max="41" width="9.42578125" hidden="1" customWidth="1"/>
    <col min="42" max="42" width="11.640625" customWidth="1"/>
    <col min="43" max="43" width="12.35546875" customWidth="1"/>
    <col min="44" max="44" width="7" hidden="1" customWidth="1"/>
    <col min="45" max="46" width="6.35546875" customWidth="1"/>
    <col min="47" max="47" width="7.85546875" customWidth="1"/>
    <col min="48" max="48" width="7" customWidth="1"/>
    <col min="49" max="49" width="6.85546875" customWidth="1"/>
    <col min="50" max="50" width="7.42578125" customWidth="1"/>
  </cols>
  <sheetData>
    <row r="1" spans="1:50" ht="21.75" customHeight="1" thickBot="1" x14ac:dyDescent="0.5">
      <c r="A1" s="233" t="s">
        <v>127</v>
      </c>
      <c r="B1" s="67"/>
      <c r="C1" s="67"/>
      <c r="D1" s="67"/>
      <c r="E1" s="67"/>
      <c r="F1" s="67"/>
      <c r="G1" s="67"/>
      <c r="H1" s="396" t="s">
        <v>63</v>
      </c>
      <c r="I1" s="397"/>
      <c r="J1" s="397"/>
      <c r="K1" s="398"/>
      <c r="Q1" s="71"/>
      <c r="S1" s="307" t="s">
        <v>155</v>
      </c>
      <c r="T1" s="309" t="s">
        <v>151</v>
      </c>
    </row>
    <row r="2" spans="1:50" ht="18.75" customHeight="1" thickBot="1" x14ac:dyDescent="0.45">
      <c r="A2" s="233" t="s">
        <v>271</v>
      </c>
      <c r="B2" s="3"/>
      <c r="C2" s="66"/>
      <c r="D2" s="66"/>
      <c r="E2" s="66"/>
      <c r="F2" s="64"/>
      <c r="G2" s="35"/>
      <c r="H2" s="36" t="s">
        <v>32</v>
      </c>
      <c r="I2" s="4"/>
      <c r="J2" s="68"/>
      <c r="K2" s="176"/>
      <c r="S2" s="308"/>
      <c r="T2" s="310"/>
    </row>
    <row r="3" spans="1:50" ht="15" x14ac:dyDescent="0.4">
      <c r="A3" s="218" t="s">
        <v>273</v>
      </c>
      <c r="B3" s="65"/>
      <c r="C3" s="66"/>
      <c r="D3" s="66"/>
      <c r="E3" s="66"/>
      <c r="F3" s="64"/>
      <c r="G3" s="35"/>
      <c r="H3" s="36" t="s">
        <v>64</v>
      </c>
      <c r="I3" s="4"/>
      <c r="J3" s="41"/>
      <c r="K3" s="177"/>
      <c r="L3" s="27"/>
      <c r="M3" s="4"/>
      <c r="Q3" s="189" t="s">
        <v>152</v>
      </c>
      <c r="R3" s="196"/>
      <c r="S3" s="303" t="s">
        <v>43</v>
      </c>
      <c r="T3" s="194"/>
    </row>
    <row r="4" spans="1:50" ht="15.4" thickBot="1" x14ac:dyDescent="0.45">
      <c r="B4" s="35"/>
      <c r="C4" s="66"/>
      <c r="D4" s="66"/>
      <c r="E4" s="66"/>
      <c r="F4" s="64"/>
      <c r="G4" s="35"/>
      <c r="H4" s="36" t="s">
        <v>65</v>
      </c>
      <c r="I4" s="4"/>
      <c r="J4" s="41"/>
      <c r="K4" s="177"/>
      <c r="L4" s="27"/>
      <c r="M4" s="4"/>
      <c r="Q4" s="216" t="s">
        <v>153</v>
      </c>
      <c r="R4" s="161"/>
      <c r="S4" s="195"/>
      <c r="T4" s="186"/>
    </row>
    <row r="5" spans="1:50" ht="15.75" thickTop="1" thickBot="1" x14ac:dyDescent="0.45">
      <c r="A5" s="46" t="s">
        <v>171</v>
      </c>
      <c r="B5" s="219"/>
      <c r="C5" s="220"/>
      <c r="D5" s="219"/>
      <c r="E5" s="219"/>
      <c r="F5" s="221"/>
      <c r="G5" s="221"/>
      <c r="H5" s="36" t="s">
        <v>66</v>
      </c>
      <c r="I5" s="4"/>
      <c r="J5" s="41"/>
      <c r="K5" s="305" t="s">
        <v>268</v>
      </c>
      <c r="L5" s="229" t="s">
        <v>163</v>
      </c>
      <c r="M5" s="227"/>
      <c r="N5" s="228"/>
      <c r="O5" s="306" t="s">
        <v>268</v>
      </c>
      <c r="Q5" s="187" t="s">
        <v>154</v>
      </c>
      <c r="R5" s="197"/>
      <c r="S5" s="304">
        <v>2014</v>
      </c>
      <c r="T5" s="188"/>
    </row>
    <row r="6" spans="1:50" ht="15.75" thickTop="1" thickBot="1" x14ac:dyDescent="0.45">
      <c r="A6" s="219" t="s">
        <v>150</v>
      </c>
      <c r="B6" s="221"/>
      <c r="C6" s="220"/>
      <c r="D6" s="220"/>
      <c r="E6" s="220"/>
      <c r="F6" s="221"/>
      <c r="G6" s="219"/>
      <c r="H6" s="37" t="s">
        <v>67</v>
      </c>
      <c r="I6" s="10"/>
      <c r="J6" s="69"/>
      <c r="K6" s="125">
        <f>TFCA_Cost_40_Percent</f>
        <v>0</v>
      </c>
      <c r="M6" s="1"/>
    </row>
    <row r="7" spans="1:50" ht="17.25" customHeight="1" thickBot="1" x14ac:dyDescent="0.4">
      <c r="A7" s="47" t="s">
        <v>158</v>
      </c>
      <c r="B7" s="219"/>
      <c r="C7" s="80"/>
      <c r="D7" s="81"/>
      <c r="E7" s="219"/>
      <c r="F7" s="80"/>
      <c r="G7" s="219"/>
      <c r="H7" s="82"/>
      <c r="I7" s="80"/>
      <c r="J7" s="80"/>
      <c r="K7" s="28"/>
      <c r="L7" s="28"/>
      <c r="M7" s="28"/>
      <c r="N7" s="83"/>
      <c r="O7" s="25"/>
      <c r="U7" s="15"/>
      <c r="V7" s="15"/>
      <c r="W7" s="15"/>
      <c r="X7" s="15"/>
      <c r="AV7" s="10"/>
      <c r="AW7" s="10"/>
      <c r="AX7" s="10"/>
    </row>
    <row r="8" spans="1:50" ht="12.75" thickBot="1" x14ac:dyDescent="0.4">
      <c r="A8" s="230" t="s">
        <v>33</v>
      </c>
      <c r="B8" s="134" t="s">
        <v>34</v>
      </c>
      <c r="C8" s="134" t="s">
        <v>35</v>
      </c>
      <c r="D8" s="134" t="s">
        <v>60</v>
      </c>
      <c r="E8" s="134" t="s">
        <v>46</v>
      </c>
      <c r="F8" s="134" t="s">
        <v>36</v>
      </c>
      <c r="G8" s="134" t="s">
        <v>37</v>
      </c>
      <c r="H8" s="134" t="s">
        <v>44</v>
      </c>
      <c r="I8" s="135" t="s">
        <v>52</v>
      </c>
      <c r="J8" s="134" t="s">
        <v>53</v>
      </c>
      <c r="K8" s="147" t="s">
        <v>54</v>
      </c>
      <c r="L8" s="136" t="s">
        <v>55</v>
      </c>
      <c r="M8" s="136" t="s">
        <v>56</v>
      </c>
      <c r="N8" s="136" t="s">
        <v>57</v>
      </c>
      <c r="O8" s="137" t="s">
        <v>58</v>
      </c>
      <c r="P8" s="133" t="s">
        <v>59</v>
      </c>
      <c r="Q8" s="136" t="s">
        <v>61</v>
      </c>
      <c r="R8" s="136" t="s">
        <v>68</v>
      </c>
      <c r="S8" s="136" t="s">
        <v>6</v>
      </c>
      <c r="T8" s="136" t="s">
        <v>7</v>
      </c>
      <c r="U8" s="136" t="s">
        <v>70</v>
      </c>
      <c r="V8" s="133" t="s">
        <v>71</v>
      </c>
      <c r="W8" s="133" t="s">
        <v>72</v>
      </c>
      <c r="X8" s="133" t="s">
        <v>73</v>
      </c>
      <c r="Y8" s="133" t="s">
        <v>74</v>
      </c>
      <c r="Z8" s="134" t="s">
        <v>75</v>
      </c>
      <c r="AA8" s="134" t="s">
        <v>76</v>
      </c>
      <c r="AB8" s="134" t="s">
        <v>77</v>
      </c>
      <c r="AC8" s="134" t="s">
        <v>78</v>
      </c>
      <c r="AD8" s="134" t="s">
        <v>79</v>
      </c>
      <c r="AE8" s="134" t="s">
        <v>80</v>
      </c>
      <c r="AF8" s="134" t="s">
        <v>81</v>
      </c>
      <c r="AG8" s="134" t="s">
        <v>82</v>
      </c>
      <c r="AH8" s="134" t="s">
        <v>83</v>
      </c>
      <c r="AI8" s="134" t="s">
        <v>84</v>
      </c>
      <c r="AJ8" s="134" t="s">
        <v>85</v>
      </c>
      <c r="AK8" s="134" t="s">
        <v>86</v>
      </c>
      <c r="AL8" s="134" t="s">
        <v>87</v>
      </c>
      <c r="AM8" s="134" t="s">
        <v>96</v>
      </c>
      <c r="AN8" s="134" t="s">
        <v>88</v>
      </c>
      <c r="AO8" s="134" t="s">
        <v>89</v>
      </c>
      <c r="AP8" s="134" t="s">
        <v>90</v>
      </c>
      <c r="AQ8" s="134" t="s">
        <v>91</v>
      </c>
      <c r="AR8" s="134" t="s">
        <v>114</v>
      </c>
      <c r="AS8" s="134" t="s">
        <v>92</v>
      </c>
      <c r="AT8" s="134" t="s">
        <v>93</v>
      </c>
      <c r="AU8" s="147" t="s">
        <v>94</v>
      </c>
      <c r="AV8" s="148" t="s">
        <v>95</v>
      </c>
      <c r="AW8" s="148" t="s">
        <v>136</v>
      </c>
      <c r="AX8" s="149" t="s">
        <v>137</v>
      </c>
    </row>
    <row r="9" spans="1:50" ht="18.75" customHeight="1" thickBot="1" x14ac:dyDescent="0.55000000000000004">
      <c r="A9" s="357" t="s">
        <v>69</v>
      </c>
      <c r="B9" s="318" t="s">
        <v>116</v>
      </c>
      <c r="C9" s="327" t="s">
        <v>29</v>
      </c>
      <c r="D9" s="328"/>
      <c r="E9" s="328"/>
      <c r="F9" s="328"/>
      <c r="G9" s="328"/>
      <c r="H9" s="328"/>
      <c r="I9" s="328"/>
      <c r="J9" s="328"/>
      <c r="K9" s="329"/>
      <c r="L9" s="330" t="s">
        <v>147</v>
      </c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2"/>
      <c r="Z9" s="311" t="s">
        <v>30</v>
      </c>
      <c r="AA9" s="312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2"/>
      <c r="AM9" s="312"/>
      <c r="AN9" s="312"/>
      <c r="AO9" s="312"/>
      <c r="AP9" s="70"/>
      <c r="AQ9" s="70"/>
      <c r="AR9" s="128"/>
      <c r="AS9" s="402" t="s">
        <v>51</v>
      </c>
      <c r="AT9" s="403"/>
      <c r="AU9" s="403"/>
      <c r="AV9" s="404"/>
      <c r="AW9" s="404"/>
      <c r="AX9" s="405"/>
    </row>
    <row r="10" spans="1:50" ht="69.75" customHeight="1" thickBot="1" x14ac:dyDescent="0.4">
      <c r="A10" s="358"/>
      <c r="B10" s="319"/>
      <c r="C10" s="345" t="s">
        <v>176</v>
      </c>
      <c r="D10" s="346"/>
      <c r="E10" s="347"/>
      <c r="F10" s="348" t="s">
        <v>31</v>
      </c>
      <c r="G10" s="333" t="s">
        <v>166</v>
      </c>
      <c r="H10" s="314" t="s">
        <v>167</v>
      </c>
      <c r="I10" s="413" t="s">
        <v>129</v>
      </c>
      <c r="J10" s="417" t="s">
        <v>168</v>
      </c>
      <c r="K10" s="318" t="s">
        <v>172</v>
      </c>
      <c r="L10" s="345" t="s">
        <v>160</v>
      </c>
      <c r="M10" s="346"/>
      <c r="N10" s="347"/>
      <c r="O10" s="318" t="s">
        <v>132</v>
      </c>
      <c r="P10" s="318" t="s">
        <v>133</v>
      </c>
      <c r="Q10" s="318" t="s">
        <v>162</v>
      </c>
      <c r="R10" s="333" t="s">
        <v>180</v>
      </c>
      <c r="S10" s="411" t="s">
        <v>148</v>
      </c>
      <c r="T10" s="412"/>
      <c r="U10" s="335" t="s">
        <v>108</v>
      </c>
      <c r="V10" s="338" t="s">
        <v>141</v>
      </c>
      <c r="W10" s="339"/>
      <c r="X10" s="340"/>
      <c r="Y10" s="318" t="s">
        <v>174</v>
      </c>
      <c r="Z10" s="324" t="s">
        <v>0</v>
      </c>
      <c r="AA10" s="374" t="s">
        <v>109</v>
      </c>
      <c r="AB10" s="376" t="s">
        <v>1</v>
      </c>
      <c r="AC10" s="376"/>
      <c r="AD10" s="376"/>
      <c r="AE10" s="376"/>
      <c r="AF10" s="376"/>
      <c r="AG10" s="376"/>
      <c r="AH10" s="377" t="s">
        <v>112</v>
      </c>
      <c r="AI10" s="377"/>
      <c r="AJ10" s="377" t="s">
        <v>113</v>
      </c>
      <c r="AK10" s="377"/>
      <c r="AL10" s="382" t="s">
        <v>126</v>
      </c>
      <c r="AM10" s="378" t="s">
        <v>156</v>
      </c>
      <c r="AN10" s="386" t="s">
        <v>110</v>
      </c>
      <c r="AO10" s="386" t="s">
        <v>111</v>
      </c>
      <c r="AP10" s="378" t="s">
        <v>181</v>
      </c>
      <c r="AQ10" s="381" t="s">
        <v>149</v>
      </c>
      <c r="AR10" s="371" t="s">
        <v>117</v>
      </c>
      <c r="AS10" s="368" t="s">
        <v>145</v>
      </c>
      <c r="AT10" s="369"/>
      <c r="AU10" s="370"/>
      <c r="AV10" s="366" t="s">
        <v>146</v>
      </c>
      <c r="AW10" s="366"/>
      <c r="AX10" s="367"/>
    </row>
    <row r="11" spans="1:50" ht="13.5" customHeight="1" x14ac:dyDescent="0.35">
      <c r="A11" s="358"/>
      <c r="B11" s="319"/>
      <c r="C11" s="98"/>
      <c r="D11" s="96"/>
      <c r="E11" s="97"/>
      <c r="F11" s="349"/>
      <c r="G11" s="334"/>
      <c r="H11" s="315"/>
      <c r="I11" s="414"/>
      <c r="J11" s="418"/>
      <c r="K11" s="319"/>
      <c r="L11" s="98"/>
      <c r="M11" s="96"/>
      <c r="N11" s="99"/>
      <c r="O11" s="319"/>
      <c r="P11" s="319"/>
      <c r="Q11" s="319"/>
      <c r="R11" s="334"/>
      <c r="S11" s="314" t="s">
        <v>169</v>
      </c>
      <c r="T11" s="408" t="s">
        <v>170</v>
      </c>
      <c r="U11" s="336"/>
      <c r="V11" s="190"/>
      <c r="W11" s="191"/>
      <c r="X11" s="192"/>
      <c r="Y11" s="319"/>
      <c r="Z11" s="325"/>
      <c r="AA11" s="375"/>
      <c r="AB11" s="376" t="s">
        <v>2</v>
      </c>
      <c r="AC11" s="376"/>
      <c r="AD11" s="376"/>
      <c r="AE11" s="389" t="s">
        <v>3</v>
      </c>
      <c r="AF11" s="389"/>
      <c r="AG11" s="389"/>
      <c r="AH11" s="360" t="s">
        <v>2</v>
      </c>
      <c r="AI11" s="360" t="s">
        <v>3</v>
      </c>
      <c r="AJ11" s="421" t="s">
        <v>2</v>
      </c>
      <c r="AK11" s="360" t="s">
        <v>3</v>
      </c>
      <c r="AL11" s="360"/>
      <c r="AM11" s="384"/>
      <c r="AN11" s="387"/>
      <c r="AO11" s="387"/>
      <c r="AP11" s="379"/>
      <c r="AQ11" s="379"/>
      <c r="AR11" s="372"/>
      <c r="AS11" s="390" t="s">
        <v>131</v>
      </c>
      <c r="AT11" s="393" t="s">
        <v>134</v>
      </c>
      <c r="AU11" s="423" t="s">
        <v>130</v>
      </c>
      <c r="AV11" s="379" t="s">
        <v>138</v>
      </c>
      <c r="AW11" s="379" t="s">
        <v>139</v>
      </c>
      <c r="AX11" s="426" t="s">
        <v>130</v>
      </c>
    </row>
    <row r="12" spans="1:50" ht="12.6" customHeight="1" x14ac:dyDescent="0.35">
      <c r="A12" s="359"/>
      <c r="B12" s="320"/>
      <c r="C12" s="353" t="s">
        <v>48</v>
      </c>
      <c r="D12" s="321" t="s">
        <v>161</v>
      </c>
      <c r="E12" s="323" t="s">
        <v>50</v>
      </c>
      <c r="F12" s="350"/>
      <c r="G12" s="334"/>
      <c r="H12" s="316"/>
      <c r="I12" s="415"/>
      <c r="J12" s="419"/>
      <c r="K12" s="319"/>
      <c r="L12" s="353" t="s">
        <v>48</v>
      </c>
      <c r="M12" s="321" t="s">
        <v>175</v>
      </c>
      <c r="N12" s="323" t="s">
        <v>50</v>
      </c>
      <c r="O12" s="319"/>
      <c r="P12" s="319"/>
      <c r="Q12" s="319"/>
      <c r="R12" s="334"/>
      <c r="S12" s="406"/>
      <c r="T12" s="409"/>
      <c r="U12" s="337"/>
      <c r="V12" s="361" t="s">
        <v>48</v>
      </c>
      <c r="W12" s="193"/>
      <c r="X12" s="363" t="s">
        <v>50</v>
      </c>
      <c r="Y12" s="319"/>
      <c r="Z12" s="325"/>
      <c r="AA12" s="375"/>
      <c r="AB12" s="376"/>
      <c r="AC12" s="376"/>
      <c r="AD12" s="376"/>
      <c r="AE12" s="389"/>
      <c r="AF12" s="389"/>
      <c r="AG12" s="389"/>
      <c r="AH12" s="360"/>
      <c r="AI12" s="360"/>
      <c r="AJ12" s="421"/>
      <c r="AK12" s="360"/>
      <c r="AL12" s="360"/>
      <c r="AM12" s="384"/>
      <c r="AN12" s="387"/>
      <c r="AO12" s="387"/>
      <c r="AP12" s="379"/>
      <c r="AQ12" s="379"/>
      <c r="AR12" s="372"/>
      <c r="AS12" s="391"/>
      <c r="AT12" s="394"/>
      <c r="AU12" s="424"/>
      <c r="AV12" s="422"/>
      <c r="AW12" s="422"/>
      <c r="AX12" s="427"/>
    </row>
    <row r="13" spans="1:50" ht="62.25" customHeight="1" x14ac:dyDescent="0.35">
      <c r="A13" s="231"/>
      <c r="B13" s="226"/>
      <c r="C13" s="353"/>
      <c r="D13" s="322"/>
      <c r="E13" s="323"/>
      <c r="F13" s="351"/>
      <c r="G13" s="352"/>
      <c r="H13" s="317"/>
      <c r="I13" s="416"/>
      <c r="J13" s="420"/>
      <c r="K13" s="365"/>
      <c r="L13" s="353"/>
      <c r="M13" s="322"/>
      <c r="N13" s="323"/>
      <c r="O13" s="320"/>
      <c r="P13" s="320"/>
      <c r="Q13" s="320"/>
      <c r="R13" s="334"/>
      <c r="S13" s="407"/>
      <c r="T13" s="410"/>
      <c r="U13" s="337"/>
      <c r="V13" s="362"/>
      <c r="W13" s="193" t="s">
        <v>49</v>
      </c>
      <c r="X13" s="364"/>
      <c r="Y13" s="341"/>
      <c r="Z13" s="326"/>
      <c r="AA13" s="375"/>
      <c r="AB13" s="222" t="s">
        <v>48</v>
      </c>
      <c r="AC13" s="222" t="s">
        <v>173</v>
      </c>
      <c r="AD13" s="223" t="s">
        <v>50</v>
      </c>
      <c r="AE13" s="222" t="s">
        <v>48</v>
      </c>
      <c r="AF13" s="222" t="s">
        <v>173</v>
      </c>
      <c r="AG13" s="223" t="s">
        <v>50</v>
      </c>
      <c r="AH13" s="360"/>
      <c r="AI13" s="360"/>
      <c r="AJ13" s="421"/>
      <c r="AK13" s="360"/>
      <c r="AL13" s="383"/>
      <c r="AM13" s="385"/>
      <c r="AN13" s="388"/>
      <c r="AO13" s="388"/>
      <c r="AP13" s="380"/>
      <c r="AQ13" s="380"/>
      <c r="AR13" s="373"/>
      <c r="AS13" s="392"/>
      <c r="AT13" s="395"/>
      <c r="AU13" s="425"/>
      <c r="AV13" s="422"/>
      <c r="AW13" s="422"/>
      <c r="AX13" s="427"/>
    </row>
    <row r="14" spans="1:50" ht="13.15" x14ac:dyDescent="0.35">
      <c r="A14" s="202" t="s">
        <v>28</v>
      </c>
      <c r="B14" s="207" t="s">
        <v>157</v>
      </c>
      <c r="C14" s="141">
        <v>0.2</v>
      </c>
      <c r="D14" s="115"/>
      <c r="E14" s="116">
        <v>0.01</v>
      </c>
      <c r="F14" s="117">
        <v>2000</v>
      </c>
      <c r="G14" s="117">
        <v>18.5</v>
      </c>
      <c r="H14" s="119"/>
      <c r="I14" s="118">
        <v>20000</v>
      </c>
      <c r="J14" s="119">
        <v>1.8</v>
      </c>
      <c r="K14" s="198">
        <v>1</v>
      </c>
      <c r="L14" s="141">
        <v>0.18</v>
      </c>
      <c r="M14" s="115"/>
      <c r="N14" s="115">
        <v>0.01</v>
      </c>
      <c r="O14" s="120">
        <v>120000</v>
      </c>
      <c r="P14" s="120">
        <v>100000</v>
      </c>
      <c r="Q14" s="205">
        <v>0</v>
      </c>
      <c r="R14" s="121">
        <v>18.5</v>
      </c>
      <c r="S14" s="117"/>
      <c r="T14" s="119">
        <v>1.8</v>
      </c>
      <c r="U14" s="105"/>
      <c r="V14" s="106">
        <v>0</v>
      </c>
      <c r="W14" s="106">
        <v>0</v>
      </c>
      <c r="X14" s="106">
        <v>0</v>
      </c>
      <c r="Y14" s="200">
        <v>7</v>
      </c>
      <c r="Z14" s="224">
        <f>O14-P14</f>
        <v>20000</v>
      </c>
      <c r="AA14" s="107">
        <f>IF(ISERROR(ROUND(((((((1+$F$6)^Y14)*$F$6)/(((1+$F$6)^Y14)-1)))),3)),0,ROUND(((((((1+$F$6)^Y14)*$F$6)/(((1+$F$6)^Y14)-1)))),3))</f>
        <v>0</v>
      </c>
      <c r="AB14" s="122">
        <f>(((C14*IF(J14="",1,J14)*I14)-((L14*IF(T14="",1,T14)*I14)*(1-V14)))/907200)*K14</f>
        <v>7.9365079365079463E-4</v>
      </c>
      <c r="AC14" s="122">
        <v>0</v>
      </c>
      <c r="AD14" s="122">
        <f>(((E14*IF(J14="",1,J14)*I14)-((N14*IF(T14="",1,T14)*I14)*(1-X14)))/907200)*K14</f>
        <v>0</v>
      </c>
      <c r="AE14" s="122">
        <f>IF(ISERROR((((((C14/ IF(H14="",1,H14))*G14*F14)-(((L14*(1-V14)/ IF(S14="",1,S14))*R14*(F14*(1-Q14)))))/907200)*K14)),0,(((((C14/ IF(H14="",1,H14))*G14*F14)-(((L14*(1-V14)/ IF(S14="",1,S14))*R14*(F14*(1-Q14)))))/907200)*K14))</f>
        <v>8.156966490299824E-4</v>
      </c>
      <c r="AF14" s="122">
        <f t="shared" ref="AF14:AF29" si="0">IF(ISERROR(((((D14/IF(H14="",1,H14))*G14*F14*K14)-(((M14*(1-W14)/IF(S14="",1,S14))*R14*(F14*(1-Q14))*K14)))/907200)),0,((((D14/IF(H14="",1,H14))*G14*F14*K14)-(((M14*(1-W14)/IF(S14="",1,S14))*R14*(F14*(1-Q14))*K14)))/907200))</f>
        <v>0</v>
      </c>
      <c r="AG14" s="122">
        <f>IF(ISERROR(((((E14/IF(H14="",1,H14))*G14*F14*K14)-(((N14*(1-X14)/IF(S14="",1,S14))*R14*(F14*(1-Q14))*K14)))/907200)),0,((((E14/IF(H14="",1,H14))*G14*F14*K14)-(((N14*(1-X14)/IF(S14="",1,S14))*R14*(F14*(1-Q14))*K14)))/907200))</f>
        <v>0</v>
      </c>
      <c r="AH14" s="108">
        <f>IF(ISERROR((Z14*AA14)/(AB14+AC14+(20*AD14))),0,((Z14*AA14)/(AB14+AC14+(20*AD14))))</f>
        <v>0</v>
      </c>
      <c r="AI14" s="108">
        <f>IF(ISERROR(((Z14*AA14)/(AE14+AF14+(20*AG14)))),0,((Z14*AA14)/(AE14+AF14+(20*AG14))))</f>
        <v>0</v>
      </c>
      <c r="AJ14" s="109">
        <f>IF(ISERROR(((AB14+AC14+(20*AD14))*$D$5)/AA14),0,((AB14+AC14+(20*AD14))*$D$5)/AA14)</f>
        <v>0</v>
      </c>
      <c r="AK14" s="109">
        <f>IF(ISERROR(((AE14+AF14+(20*AG14))*$D$5)/AA14),0,((AE14+AF14+(20*AG14))*$D$5)/AA14)</f>
        <v>0</v>
      </c>
      <c r="AL14" s="110"/>
      <c r="AM14" s="145">
        <v>10000</v>
      </c>
      <c r="AN14" s="111">
        <f>IF(ISERROR((AA14*AM14)/(AB14+AC14+(20*AD14))),0,(AA14*AM14)/(AB14+AC14+(20*AD14)))</f>
        <v>0</v>
      </c>
      <c r="AO14" s="111">
        <f>IF(ISERROR((AA14*AM14)/(AE14+AF14+(20*AG14))),0,(AA14*AM14)/(AE14+AF14+(20*AG14)))</f>
        <v>0</v>
      </c>
      <c r="AP14" s="143">
        <f>IF(ISERROR((AM14/Y14)/(AB14+AC14+(20*AD14))),0,(AM14/Y14)/(AB14+AC14+(20*AD14)))</f>
        <v>1799999.9999999979</v>
      </c>
      <c r="AQ14" s="143">
        <f>IF(ISERROR((AM14/Y14)/(AE14+AF14+(20*AG14))),0,(AM14/Y14)/(AE14+AF14+(20*AG14)))</f>
        <v>1751351.3513513515</v>
      </c>
      <c r="AR14" s="127" t="e">
        <f>VLOOKUP(AP14,AT31:AU115,2,TRUE)</f>
        <v>#N/A</v>
      </c>
      <c r="AS14" s="126">
        <v>1527</v>
      </c>
      <c r="AT14" s="123">
        <v>1098</v>
      </c>
      <c r="AU14" s="129">
        <f>(I14*K14*(AS14-AT14))/907200</f>
        <v>9.4576719576719572</v>
      </c>
      <c r="AV14" s="126">
        <v>10079</v>
      </c>
      <c r="AW14" s="123">
        <v>7244</v>
      </c>
      <c r="AX14" s="129">
        <f>(((AV14*F14)-(AW14*F14*Q14))*K14)/907200</f>
        <v>22.220017636684304</v>
      </c>
    </row>
    <row r="15" spans="1:50" ht="13.15" x14ac:dyDescent="0.35">
      <c r="A15" s="203">
        <v>1</v>
      </c>
      <c r="B15" s="208" t="s">
        <v>4</v>
      </c>
      <c r="C15" s="142">
        <v>0.2</v>
      </c>
      <c r="D15" s="100"/>
      <c r="E15" s="101">
        <v>0.01</v>
      </c>
      <c r="F15" s="102"/>
      <c r="G15" s="102">
        <v>18.5</v>
      </c>
      <c r="H15" s="104"/>
      <c r="I15" s="103"/>
      <c r="J15" s="104"/>
      <c r="K15" s="199"/>
      <c r="L15" s="142"/>
      <c r="M15" s="100"/>
      <c r="N15" s="100"/>
      <c r="O15" s="140"/>
      <c r="P15" s="140"/>
      <c r="Q15" s="206">
        <v>0</v>
      </c>
      <c r="R15" s="112"/>
      <c r="S15" s="102"/>
      <c r="T15" s="104"/>
      <c r="U15" s="105"/>
      <c r="V15" s="106">
        <v>0</v>
      </c>
      <c r="W15" s="106">
        <v>0</v>
      </c>
      <c r="X15" s="106">
        <v>0</v>
      </c>
      <c r="Y15" s="201"/>
      <c r="Z15" s="225">
        <f t="shared" ref="Z15:Z29" si="1">O15-P15</f>
        <v>0</v>
      </c>
      <c r="AA15" s="107">
        <f>IF(ISERROR(ROUND(((((((1+$F$6)^Y15)*$F$6)/(((1+$F$6)^Y15)-1)))),3)),0,ROUND(((((((1+$F$6)^Y15)*$F$6)/(((1+$F$6)^Y15)-1)))),3))</f>
        <v>0</v>
      </c>
      <c r="AB15" s="113">
        <f>(((C15*IF(J15="",1,J15)*I15)-((L15*IF(T15="",1,T15)*I15)*(1-V15)))/907200)*K15</f>
        <v>0</v>
      </c>
      <c r="AC15" s="185">
        <f>(((D15*IF(J15="",1,J15)*I15)-((M15*IF(T15="",1,T15)*I15)*(1-W15)))/907200)*K15</f>
        <v>0</v>
      </c>
      <c r="AD15" s="113">
        <f>(((E15*IF(J15="",1,J15)*I15)-((N15*IF(T15="",1,T15)*I15)*(1-X15)))/907200)*K15</f>
        <v>0</v>
      </c>
      <c r="AE15" s="113">
        <f>IF(ISERROR((((((C15/ IF(H15="",1,H15))*G15*F15)-(((L15*(1-V15)/ IF(S15="",1,S15))*R15*(F15*(1-Q15)))))/907200)*K15)),0,(((((C15/ IF(H15="",1,H15))*G15*F15)-(((L15*(1-V15)/ IF(S15="",1,S15))*R15*(F15*(1-Q15)))))/907200)*K15))</f>
        <v>0</v>
      </c>
      <c r="AF15" s="185">
        <f t="shared" si="0"/>
        <v>0</v>
      </c>
      <c r="AG15" s="113">
        <f>IF(ISERROR(((((E15/IF(H15="",1,H15))*G15*F15*K15)-(((N15*(1-X15)/IF(S15="",1,S15))*R15*(F15*(1-Q15))*K15)))/907200)),0,((((E15/IF(H15="",1,H15))*G15*F15*K15)-(((N15*(1-X15)/IF(S15="",1,S15))*R15*(F15*(1-Q15))*K15)))/907200))</f>
        <v>0</v>
      </c>
      <c r="AH15" s="108">
        <f>IF(ISERROR((Z15*AA15)/(AB15+AC15+(20*AD15))),0,((Z15*AA15)/(AB15+AC15+(20*AD15))))</f>
        <v>0</v>
      </c>
      <c r="AI15" s="108">
        <f>IF(ISERROR(((Z15*AA15)/(AE15+AF15+(20*AG15)))),0,((Z15*AA15)/(AE15+AF15+(20*AG15))))</f>
        <v>0</v>
      </c>
      <c r="AJ15" s="109">
        <f>IF(ISERROR(((AB15+AC15+(20*AD15))*$D$5)/AA15),0,((AB15+AC15+(20*AD15))*$D$5)/AA15)</f>
        <v>0</v>
      </c>
      <c r="AK15" s="109">
        <f>IF(ISERROR(((AE15+AF15+(20*AG15))*$D$5)/AA15),0,((AE15+AF15+(20*AG15))*$D$5)/AA15)</f>
        <v>0</v>
      </c>
      <c r="AL15" s="110"/>
      <c r="AM15" s="146"/>
      <c r="AN15" s="111">
        <f>IF(ISERROR((AA15*AM15)/(AB15+AC15+(20*AD15))),0,(AA15*AM15)/(AB15+AC15+(20*AD15)))</f>
        <v>0</v>
      </c>
      <c r="AO15" s="111">
        <f>IF(ISERROR((AA15*AM15)/(AE15+AF15+(20*AG15))),0,(AA15*AM15)/(AE15+AF15+(20*AG15)))</f>
        <v>0</v>
      </c>
      <c r="AP15" s="144">
        <f>IF(ISERROR((AM15/Y15)/(AB15+AC15+(20*AD15))),0,(AM15/Y15)/(AB15+AC15+(20*AD15)))</f>
        <v>0</v>
      </c>
      <c r="AQ15" s="144">
        <f>IF(ISERROR((AM15/Y15)/(AE15+AF15+(20*AG15))),0,(AM15/Y15)/(AE15+AF15+(20*AG15)))</f>
        <v>0</v>
      </c>
      <c r="AR15" s="127" t="e">
        <f>VLOOKUP(AP15,AT31:AU116,2,TRUE)</f>
        <v>#N/A</v>
      </c>
      <c r="AS15" s="130"/>
      <c r="AT15" s="131"/>
      <c r="AU15" s="132">
        <f t="shared" ref="AU15:AU29" si="2">(I15*K15*(AS15-AT15))/907200</f>
        <v>0</v>
      </c>
      <c r="AV15" s="130">
        <v>10079</v>
      </c>
      <c r="AW15" s="131"/>
      <c r="AX15" s="132">
        <f t="shared" ref="AX15:AX29" si="3">(L16*N16*(AV15-AW15)/907200)</f>
        <v>0</v>
      </c>
    </row>
    <row r="16" spans="1:50" ht="13.15" x14ac:dyDescent="0.35">
      <c r="A16" s="203">
        <v>2</v>
      </c>
      <c r="B16" s="208" t="s">
        <v>4</v>
      </c>
      <c r="C16" s="142">
        <v>0.2</v>
      </c>
      <c r="D16" s="100"/>
      <c r="E16" s="101">
        <v>0.01</v>
      </c>
      <c r="F16" s="102"/>
      <c r="G16" s="102">
        <v>18.5</v>
      </c>
      <c r="H16" s="104"/>
      <c r="I16" s="103"/>
      <c r="J16" s="104"/>
      <c r="K16" s="199"/>
      <c r="L16" s="142"/>
      <c r="M16" s="100"/>
      <c r="N16" s="100"/>
      <c r="O16" s="140"/>
      <c r="P16" s="140"/>
      <c r="Q16" s="206">
        <v>0</v>
      </c>
      <c r="R16" s="112"/>
      <c r="S16" s="102"/>
      <c r="T16" s="104"/>
      <c r="U16" s="105"/>
      <c r="V16" s="106">
        <v>0</v>
      </c>
      <c r="W16" s="106">
        <v>0</v>
      </c>
      <c r="X16" s="106">
        <v>0</v>
      </c>
      <c r="Y16" s="201"/>
      <c r="Z16" s="225">
        <f t="shared" si="1"/>
        <v>0</v>
      </c>
      <c r="AA16" s="107">
        <f>IF(ISERROR(ROUND(((((((1+$F$6)^Y16)*$F$6)/(((1+$F$6)^Y16)-1)))),3)),0,ROUND(((((((1+$F$6)^Y16)*$F$6)/(((1+$F$6)^Y16)-1)))),3))</f>
        <v>0</v>
      </c>
      <c r="AB16" s="113">
        <f>(((C16*IF(J16="",1,J16)*I16)-((L16*IF(T16="",1,T16)*I16)*(1-V16)))/907200)*K16</f>
        <v>0</v>
      </c>
      <c r="AC16" s="185">
        <f>(((D16*IF(J16="",1,J16)*I16)-((M16*IF(T16="",1,T16)*I16)*(1-W16)))/907200)*K16</f>
        <v>0</v>
      </c>
      <c r="AD16" s="113">
        <f>(((E16*IF(J16="",1,J16)*I16)-((N16*IF(T16="",1,T16)*I16)*(1-X16)))/907200)*K16</f>
        <v>0</v>
      </c>
      <c r="AE16" s="113">
        <f t="shared" ref="AE16:AE29" si="4">IF(ISERROR((((((C16/ IF(H16="",1,H16))*G16*F16)-(((L16*(1-V16)/ IF(S16="",1,S16))*R16*(F16*(1-Q16)))))/907200)*K16)),0,(((((C16/ IF(H16="",1,H16))*G16*F16)-(((L16*(1-V16)/ IF(S16="",1,S16))*R16*(F16*(1-Q16)))))/907200)*K16))</f>
        <v>0</v>
      </c>
      <c r="AF16" s="185">
        <f t="shared" si="0"/>
        <v>0</v>
      </c>
      <c r="AG16" s="113">
        <f t="shared" ref="AG16:AG29" si="5">IF(ISERROR(((((E16/IF(H16="",1,H16))*G16*F16*K16)-(((N16*(1-X16)/IF(S16="",1,S16))*R16*(F16*(1-Q16))*K16)))/907200)),0,((((E16/IF(H16="",1,H16))*G16*F16*K16)-(((N16*(1-X16)/IF(S16="",1,S16))*R16*(F16*(1-Q16))*K16)))/907200))</f>
        <v>0</v>
      </c>
      <c r="AH16" s="108">
        <f>IF(ISERROR((Z16*AA16)/(AB16+AC16+(20*AD16))),0,((Z16*AA16)/(AB16+AC16+(20*AD16))))</f>
        <v>0</v>
      </c>
      <c r="AI16" s="108">
        <f>IF(ISERROR(((Z16*AA16)/(AE16+AF16+(20*AG16)))),0,((Z16*AA16)/(AE16+AF16+(20*AG16))))</f>
        <v>0</v>
      </c>
      <c r="AJ16" s="109">
        <f>IF(ISERROR(((AB16+AC16+(20*AD16))*$D$5)/AA16),0,((AB16+AC16+(20*AD16))*$D$5)/AA16)</f>
        <v>0</v>
      </c>
      <c r="AK16" s="109">
        <f>IF(ISERROR(((AE16+AF16+(20*AG16))*$D$5)/AA16),0,((AE16+AF16+(20*AG16))*$D$5)/AA16)</f>
        <v>0</v>
      </c>
      <c r="AL16" s="110"/>
      <c r="AM16" s="146"/>
      <c r="AN16" s="111">
        <f>IF(ISERROR((AA16*AM16)/(AB16+AC16+(20*AD16))),0,(AA16*AM16)/(AB16+AC16+(20*AD16)))</f>
        <v>0</v>
      </c>
      <c r="AO16" s="111">
        <f>IF(ISERROR((AA16*AM16)/(AE16+AF16+(20*AG16))),0,(AA16*AM16)/(AE16+AF16+(20*AG16)))</f>
        <v>0</v>
      </c>
      <c r="AP16" s="144">
        <f>IF(ISERROR((AM16/Y16)/(AB16+AC16+(20*AD16))),0,(AM16/Y16)/(AB16+AC16+(20*AD16)))</f>
        <v>0</v>
      </c>
      <c r="AQ16" s="144">
        <f>IF(ISERROR((AM16/Y16)/(AE16+AF16+(20*AG16))),0,(AM16/Y16)/(AE16+AF16+(20*AG16)))</f>
        <v>0</v>
      </c>
      <c r="AR16" s="127" t="e">
        <f>VLOOKUP(AP16,AT31:AU117,2,TRUE)</f>
        <v>#N/A</v>
      </c>
      <c r="AS16" s="130"/>
      <c r="AT16" s="131"/>
      <c r="AU16" s="132">
        <f t="shared" si="2"/>
        <v>0</v>
      </c>
      <c r="AV16" s="130">
        <v>10079</v>
      </c>
      <c r="AW16" s="131"/>
      <c r="AX16" s="132">
        <f t="shared" si="3"/>
        <v>0</v>
      </c>
    </row>
    <row r="17" spans="1:50" ht="13.15" x14ac:dyDescent="0.35">
      <c r="A17" s="203">
        <v>3</v>
      </c>
      <c r="B17" s="208"/>
      <c r="C17" s="142">
        <v>0.2</v>
      </c>
      <c r="D17" s="100"/>
      <c r="E17" s="101">
        <v>0.01</v>
      </c>
      <c r="F17" s="102"/>
      <c r="G17" s="102">
        <v>18.5</v>
      </c>
      <c r="H17" s="104"/>
      <c r="I17" s="103"/>
      <c r="J17" s="104"/>
      <c r="K17" s="199"/>
      <c r="L17" s="142"/>
      <c r="M17" s="100"/>
      <c r="N17" s="100"/>
      <c r="O17" s="140"/>
      <c r="P17" s="140"/>
      <c r="Q17" s="206">
        <v>0</v>
      </c>
      <c r="R17" s="112"/>
      <c r="S17" s="102"/>
      <c r="T17" s="104"/>
      <c r="U17" s="105"/>
      <c r="V17" s="106">
        <v>0</v>
      </c>
      <c r="W17" s="106">
        <v>0</v>
      </c>
      <c r="X17" s="106">
        <v>0</v>
      </c>
      <c r="Y17" s="201"/>
      <c r="Z17" s="225">
        <f t="shared" si="1"/>
        <v>0</v>
      </c>
      <c r="AA17" s="107">
        <f>IF(ISERROR(ROUND(((((((1+$F$6)^Y17)*$F$6)/(((1+$F$6)^Y17)-1)))),3)),0,ROUND(((((((1+$F$6)^Y17)*$F$6)/(((1+$F$6)^Y17)-1)))),3))</f>
        <v>0</v>
      </c>
      <c r="AB17" s="113">
        <f>(((C17*IF(J17="",1,J17)*I17)-((L17*IF(T17="",1,T17)*I17)*(1-V17)))/907200)*K17</f>
        <v>0</v>
      </c>
      <c r="AC17" s="185">
        <f>(((D17*IF(J17="",1,J17)*I17)-((M17*IF(T17="",1,T17)*I17)*(1-W17)))/907200)*K17</f>
        <v>0</v>
      </c>
      <c r="AD17" s="113">
        <f>(((E17*IF(J17="",1,J17)*I17)-((N17*IF(T17="",1,T17)*I17)*(1-X17)))/907200)*K17</f>
        <v>0</v>
      </c>
      <c r="AE17" s="113">
        <f t="shared" si="4"/>
        <v>0</v>
      </c>
      <c r="AF17" s="185">
        <f t="shared" si="0"/>
        <v>0</v>
      </c>
      <c r="AG17" s="113">
        <f t="shared" si="5"/>
        <v>0</v>
      </c>
      <c r="AH17" s="108">
        <f>IF(ISERROR((Z17*AA17)/(AB17+AC17+(20*AD17))),0,((Z17*AA17)/(AB17+AC17+(20*AD17))))</f>
        <v>0</v>
      </c>
      <c r="AI17" s="108">
        <f>IF(ISERROR(((Z17*AA17)/(AE17+AF17+(20*AG17)))),0,((Z17*AA17)/(AE17+AF17+(20*AG17))))</f>
        <v>0</v>
      </c>
      <c r="AJ17" s="109">
        <f>IF(ISERROR(((AB17+AC17+(20*AD17))*$D$5)/AA17),0,((AB17+AC17+(20*AD17))*$D$5)/AA17)</f>
        <v>0</v>
      </c>
      <c r="AK17" s="109">
        <f>IF(ISERROR(((AE17+AF17+(20*AG17))*$D$5)/AA17),0,((AE17+AF17+(20*AG17))*$D$5)/AA17)</f>
        <v>0</v>
      </c>
      <c r="AL17" s="110"/>
      <c r="AM17" s="146"/>
      <c r="AN17" s="111">
        <f>IF(ISERROR((AA17*AM17)/(AB17+AC17+(20*AD17))),0,(AA17*AM17)/(AB17+AC17+(20*AD17)))</f>
        <v>0</v>
      </c>
      <c r="AO17" s="111">
        <f>IF(ISERROR((AA17*AM17)/(AE17+AF17+(20*AG17))),0,(AA17*AM17)/(AE17+AF17+(20*AG17)))</f>
        <v>0</v>
      </c>
      <c r="AP17" s="144">
        <f>IF(ISERROR((AM17/Y17)/(AB17+AC17+(20*AD17))),0,(AM17/Y17)/(AB17+AC17+(20*AD17)))</f>
        <v>0</v>
      </c>
      <c r="AQ17" s="144">
        <f>IF(ISERROR((AM17/Y17)/(AE17+AF17+(20*AG17))),0,(AM17/Y17)/(AE17+AF17+(20*AG17)))</f>
        <v>0</v>
      </c>
      <c r="AR17" s="127" t="e">
        <f>VLOOKUP(AP17,AT31:AU118,2,TRUE)</f>
        <v>#N/A</v>
      </c>
      <c r="AS17" s="130"/>
      <c r="AT17" s="131"/>
      <c r="AU17" s="132">
        <f t="shared" si="2"/>
        <v>0</v>
      </c>
      <c r="AV17" s="130">
        <v>10079</v>
      </c>
      <c r="AW17" s="131"/>
      <c r="AX17" s="132">
        <f t="shared" si="3"/>
        <v>0</v>
      </c>
    </row>
    <row r="18" spans="1:50" ht="13.15" x14ac:dyDescent="0.35">
      <c r="A18" s="203">
        <v>4</v>
      </c>
      <c r="B18" s="208" t="s">
        <v>4</v>
      </c>
      <c r="C18" s="142">
        <v>0.2</v>
      </c>
      <c r="D18" s="100"/>
      <c r="E18" s="101">
        <v>0.01</v>
      </c>
      <c r="F18" s="102"/>
      <c r="G18" s="102">
        <v>18.5</v>
      </c>
      <c r="H18" s="104"/>
      <c r="I18" s="103"/>
      <c r="J18" s="104"/>
      <c r="K18" s="199"/>
      <c r="L18" s="142"/>
      <c r="M18" s="100"/>
      <c r="N18" s="100"/>
      <c r="O18" s="140"/>
      <c r="P18" s="140"/>
      <c r="Q18" s="206">
        <v>0</v>
      </c>
      <c r="R18" s="112"/>
      <c r="S18" s="102"/>
      <c r="T18" s="104"/>
      <c r="U18" s="105"/>
      <c r="V18" s="106">
        <v>0</v>
      </c>
      <c r="W18" s="106">
        <v>0</v>
      </c>
      <c r="X18" s="106">
        <v>0</v>
      </c>
      <c r="Y18" s="201"/>
      <c r="Z18" s="225">
        <f t="shared" si="1"/>
        <v>0</v>
      </c>
      <c r="AA18" s="107">
        <f>IF(ISERROR(ROUND(((((((1+$F$6)^Y18)*$F$6)/(((1+$F$6)^Y18)-1)))),3)),0,ROUND(((((((1+$F$6)^Y18)*$F$6)/(((1+$F$6)^Y18)-1)))),3))</f>
        <v>0</v>
      </c>
      <c r="AB18" s="113">
        <f>(((C18*IF(J18="",1,J18)*I18)-((L18*IF(T18="",1,T18)*I18)*(1-V18)))/907200)*K18</f>
        <v>0</v>
      </c>
      <c r="AC18" s="185">
        <f>(((D18*IF(J18="",1,J18)*I18)-((M18*IF(T18="",1,T18)*I18)*(1-W18)))/907200)*K18</f>
        <v>0</v>
      </c>
      <c r="AD18" s="113">
        <f>(((E18*IF(J18="",1,J18)*I18)-((N18*IF(T18="",1,T18)*I18)*(1-X18)))/907200)*K18</f>
        <v>0</v>
      </c>
      <c r="AE18" s="113">
        <f t="shared" si="4"/>
        <v>0</v>
      </c>
      <c r="AF18" s="185">
        <f t="shared" si="0"/>
        <v>0</v>
      </c>
      <c r="AG18" s="113">
        <f t="shared" si="5"/>
        <v>0</v>
      </c>
      <c r="AH18" s="108">
        <f>IF(ISERROR((Z18*AA18)/(AB18+AC18+(20*AD18))),0,((Z18*AA18)/(AB18+AC18+(20*AD18))))</f>
        <v>0</v>
      </c>
      <c r="AI18" s="108">
        <f>IF(ISERROR(((Z18*AA18)/(AE18+AF18+(20*AG18)))),0,((Z18*AA18)/(AE18+AF18+(20*AG18))))</f>
        <v>0</v>
      </c>
      <c r="AJ18" s="109">
        <f>IF(ISERROR(((AB18+AC18+(20*AD18))*$D$5)/AA18),0,((AB18+AC18+(20*AD18))*$D$5)/AA18)</f>
        <v>0</v>
      </c>
      <c r="AK18" s="109">
        <f>IF(ISERROR(((AE18+AF18+(20*AG18))*$D$5)/AA18),0,((AE18+AF18+(20*AG18))*$D$5)/AA18)</f>
        <v>0</v>
      </c>
      <c r="AL18" s="110"/>
      <c r="AM18" s="146"/>
      <c r="AN18" s="111">
        <f>IF(ISERROR((AA18*AM18)/(AB18+AC18+(20*AD18))),0,(AA18*AM18)/(AB18+AC18+(20*AD18)))</f>
        <v>0</v>
      </c>
      <c r="AO18" s="111">
        <f>IF(ISERROR((AA18*AM18)/(AE18+AF18+(20*AG18))),0,(AA18*AM18)/(AE18+AF18+(20*AG18)))</f>
        <v>0</v>
      </c>
      <c r="AP18" s="144">
        <f>IF(ISERROR((AM18/Y18)/(AB18+AC18+(20*AD18))),0,(AM18/Y18)/(AB18+AC18+(20*AD18)))</f>
        <v>0</v>
      </c>
      <c r="AQ18" s="144">
        <f>IF(ISERROR((AM18/Y18)/(AE18+AF18+(20*AG18))),0,(AM18/Y18)/(AE18+AF18+(20*AG18)))</f>
        <v>0</v>
      </c>
      <c r="AR18" s="127" t="e">
        <f>VLOOKUP(AP18,AT31:AU119,2,TRUE)</f>
        <v>#N/A</v>
      </c>
      <c r="AS18" s="130"/>
      <c r="AT18" s="131"/>
      <c r="AU18" s="132">
        <f t="shared" si="2"/>
        <v>0</v>
      </c>
      <c r="AV18" s="130">
        <v>10079</v>
      </c>
      <c r="AW18" s="131"/>
      <c r="AX18" s="132">
        <f t="shared" si="3"/>
        <v>0</v>
      </c>
    </row>
    <row r="19" spans="1:50" ht="13.15" x14ac:dyDescent="0.35">
      <c r="A19" s="203">
        <v>5</v>
      </c>
      <c r="B19" s="208" t="s">
        <v>4</v>
      </c>
      <c r="C19" s="142">
        <v>0.2</v>
      </c>
      <c r="D19" s="100"/>
      <c r="E19" s="101">
        <v>0.01</v>
      </c>
      <c r="F19" s="102"/>
      <c r="G19" s="102">
        <v>18.5</v>
      </c>
      <c r="H19" s="104"/>
      <c r="I19" s="103"/>
      <c r="J19" s="104"/>
      <c r="K19" s="199"/>
      <c r="L19" s="142"/>
      <c r="M19" s="100"/>
      <c r="N19" s="100"/>
      <c r="O19" s="140"/>
      <c r="P19" s="140"/>
      <c r="Q19" s="206">
        <v>0</v>
      </c>
      <c r="R19" s="112"/>
      <c r="S19" s="102"/>
      <c r="T19" s="104"/>
      <c r="U19" s="105"/>
      <c r="V19" s="106">
        <v>0</v>
      </c>
      <c r="W19" s="106">
        <v>0</v>
      </c>
      <c r="X19" s="106">
        <v>0</v>
      </c>
      <c r="Y19" s="201"/>
      <c r="Z19" s="225">
        <f t="shared" si="1"/>
        <v>0</v>
      </c>
      <c r="AA19" s="107">
        <f t="shared" ref="AA19:AA26" si="6">IF(ISERROR(ROUND(((((((1+$F$6)^Y19)*$F$6)/(((1+$F$6)^Y19)-1)))),3)),0,ROUND(((((((1+$F$6)^Y19)*$F$6)/(((1+$F$6)^Y19)-1)))),3))</f>
        <v>0</v>
      </c>
      <c r="AB19" s="113">
        <f t="shared" ref="AB19:AB26" si="7">(((C19*IF(J19="",1,J19)*I19)-((L19*IF(T19="",1,T19)*I19)*(1-V19)))/907200)*K19</f>
        <v>0</v>
      </c>
      <c r="AC19" s="185">
        <f t="shared" ref="AC19:AC26" si="8">(((D19*IF(J19="",1,J19)*I19)-((M19*IF(T19="",1,T19)*I19)*(1-W19)))/907200)*K19</f>
        <v>0</v>
      </c>
      <c r="AD19" s="113">
        <f t="shared" ref="AD19:AD26" si="9">(((E19*IF(J19="",1,J19)*I19)-((N19*IF(T19="",1,T19)*I19)*(1-X19)))/907200)*K19</f>
        <v>0</v>
      </c>
      <c r="AE19" s="113">
        <f t="shared" si="4"/>
        <v>0</v>
      </c>
      <c r="AF19" s="185">
        <f t="shared" si="0"/>
        <v>0</v>
      </c>
      <c r="AG19" s="113">
        <f t="shared" si="5"/>
        <v>0</v>
      </c>
      <c r="AH19" s="108">
        <f t="shared" ref="AH19:AH26" si="10">IF(ISERROR((Z19*AA19)/(AB19+AC19+(20*AD19))),0,((Z19*AA19)/(AB19+AC19+(20*AD19))))</f>
        <v>0</v>
      </c>
      <c r="AI19" s="108">
        <f t="shared" ref="AI19:AI26" si="11">IF(ISERROR(((Z19*AA19)/(AE19+AF19+(20*AG19)))),0,((Z19*AA19)/(AE19+AF19+(20*AG19))))</f>
        <v>0</v>
      </c>
      <c r="AJ19" s="109">
        <f t="shared" ref="AJ19:AJ26" si="12">IF(ISERROR(((AB19+AC19+(20*AD19))*$D$5)/AA19),0,((AB19+AC19+(20*AD19))*$D$5)/AA19)</f>
        <v>0</v>
      </c>
      <c r="AK19" s="109">
        <f t="shared" ref="AK19:AK26" si="13">IF(ISERROR(((AE19+AF19+(20*AG19))*$D$5)/AA19),0,((AE19+AF19+(20*AG19))*$D$5)/AA19)</f>
        <v>0</v>
      </c>
      <c r="AL19" s="110"/>
      <c r="AM19" s="146"/>
      <c r="AN19" s="111">
        <f t="shared" ref="AN19:AN26" si="14">IF(ISERROR((AA19*AM19)/(AB19+AC19+(20*AD19))),0,(AA19*AM19)/(AB19+AC19+(20*AD19)))</f>
        <v>0</v>
      </c>
      <c r="AO19" s="111">
        <f t="shared" ref="AO19:AO26" si="15">IF(ISERROR((AA19*AM19)/(AE19+AF19+(20*AG19))),0,(AA19*AM19)/(AE19+AF19+(20*AG19)))</f>
        <v>0</v>
      </c>
      <c r="AP19" s="144">
        <f t="shared" ref="AP19:AP26" si="16">IF(ISERROR((AM19/Y19)/(AB19+AC19+(20*AD19))),0,(AM19/Y19)/(AB19+AC19+(20*AD19)))</f>
        <v>0</v>
      </c>
      <c r="AQ19" s="144">
        <f t="shared" ref="AQ19:AQ26" si="17">IF(ISERROR((AM19/Y19)/(AE19+AF19+(20*AG19))),0,(AM19/Y19)/(AE19+AF19+(20*AG19)))</f>
        <v>0</v>
      </c>
      <c r="AR19" s="127" t="e">
        <f>VLOOKUP(AP19,AT31:AU120,2,TRUE)</f>
        <v>#N/A</v>
      </c>
      <c r="AS19" s="130"/>
      <c r="AT19" s="131"/>
      <c r="AU19" s="132">
        <f t="shared" si="2"/>
        <v>0</v>
      </c>
      <c r="AV19" s="130">
        <v>10079</v>
      </c>
      <c r="AW19" s="131"/>
      <c r="AX19" s="132">
        <f t="shared" si="3"/>
        <v>0</v>
      </c>
    </row>
    <row r="20" spans="1:50" ht="13.15" x14ac:dyDescent="0.35">
      <c r="A20" s="203">
        <v>6</v>
      </c>
      <c r="B20" s="208" t="s">
        <v>4</v>
      </c>
      <c r="C20" s="142">
        <v>0.2</v>
      </c>
      <c r="D20" s="100"/>
      <c r="E20" s="101">
        <v>0.01</v>
      </c>
      <c r="F20" s="102"/>
      <c r="G20" s="102">
        <v>18.5</v>
      </c>
      <c r="H20" s="104"/>
      <c r="I20" s="103"/>
      <c r="J20" s="104"/>
      <c r="K20" s="199"/>
      <c r="L20" s="142"/>
      <c r="M20" s="100"/>
      <c r="N20" s="100"/>
      <c r="O20" s="140"/>
      <c r="P20" s="140"/>
      <c r="Q20" s="206">
        <v>0</v>
      </c>
      <c r="R20" s="112"/>
      <c r="S20" s="102"/>
      <c r="T20" s="104"/>
      <c r="U20" s="105"/>
      <c r="V20" s="106">
        <v>0</v>
      </c>
      <c r="W20" s="106">
        <v>0</v>
      </c>
      <c r="X20" s="106">
        <v>0</v>
      </c>
      <c r="Y20" s="201"/>
      <c r="Z20" s="225">
        <f t="shared" si="1"/>
        <v>0</v>
      </c>
      <c r="AA20" s="107">
        <f t="shared" si="6"/>
        <v>0</v>
      </c>
      <c r="AB20" s="113">
        <f t="shared" si="7"/>
        <v>0</v>
      </c>
      <c r="AC20" s="185">
        <f t="shared" si="8"/>
        <v>0</v>
      </c>
      <c r="AD20" s="113">
        <f t="shared" si="9"/>
        <v>0</v>
      </c>
      <c r="AE20" s="113">
        <f t="shared" si="4"/>
        <v>0</v>
      </c>
      <c r="AF20" s="185">
        <f t="shared" si="0"/>
        <v>0</v>
      </c>
      <c r="AG20" s="113">
        <f t="shared" si="5"/>
        <v>0</v>
      </c>
      <c r="AH20" s="108">
        <f t="shared" si="10"/>
        <v>0</v>
      </c>
      <c r="AI20" s="108">
        <f t="shared" si="11"/>
        <v>0</v>
      </c>
      <c r="AJ20" s="109">
        <f t="shared" si="12"/>
        <v>0</v>
      </c>
      <c r="AK20" s="109">
        <f t="shared" si="13"/>
        <v>0</v>
      </c>
      <c r="AL20" s="110"/>
      <c r="AM20" s="146"/>
      <c r="AN20" s="111">
        <f t="shared" si="14"/>
        <v>0</v>
      </c>
      <c r="AO20" s="111">
        <f t="shared" si="15"/>
        <v>0</v>
      </c>
      <c r="AP20" s="144">
        <f t="shared" si="16"/>
        <v>0</v>
      </c>
      <c r="AQ20" s="144">
        <f t="shared" si="17"/>
        <v>0</v>
      </c>
      <c r="AR20" s="127" t="e">
        <f t="shared" ref="AR20:AR26" si="18">VLOOKUP(AP20,AT33:AU121,2,TRUE)</f>
        <v>#N/A</v>
      </c>
      <c r="AS20" s="130"/>
      <c r="AT20" s="131"/>
      <c r="AU20" s="132">
        <f t="shared" si="2"/>
        <v>0</v>
      </c>
      <c r="AV20" s="130">
        <v>10079</v>
      </c>
      <c r="AW20" s="131"/>
      <c r="AX20" s="132">
        <f t="shared" si="3"/>
        <v>0</v>
      </c>
    </row>
    <row r="21" spans="1:50" ht="13.15" x14ac:dyDescent="0.35">
      <c r="A21" s="203">
        <v>7</v>
      </c>
      <c r="B21" s="208" t="s">
        <v>4</v>
      </c>
      <c r="C21" s="142">
        <v>0.2</v>
      </c>
      <c r="D21" s="100"/>
      <c r="E21" s="101">
        <v>0.01</v>
      </c>
      <c r="F21" s="102"/>
      <c r="G21" s="102">
        <v>18.5</v>
      </c>
      <c r="H21" s="104"/>
      <c r="I21" s="103"/>
      <c r="J21" s="104"/>
      <c r="K21" s="199"/>
      <c r="L21" s="142"/>
      <c r="M21" s="100"/>
      <c r="N21" s="100"/>
      <c r="O21" s="140"/>
      <c r="P21" s="140"/>
      <c r="Q21" s="206">
        <v>0</v>
      </c>
      <c r="R21" s="112"/>
      <c r="S21" s="102"/>
      <c r="T21" s="104"/>
      <c r="U21" s="105"/>
      <c r="V21" s="106">
        <v>0</v>
      </c>
      <c r="W21" s="106">
        <v>0</v>
      </c>
      <c r="X21" s="106">
        <v>0</v>
      </c>
      <c r="Y21" s="201"/>
      <c r="Z21" s="225">
        <f t="shared" si="1"/>
        <v>0</v>
      </c>
      <c r="AA21" s="107">
        <f t="shared" si="6"/>
        <v>0</v>
      </c>
      <c r="AB21" s="113">
        <f t="shared" si="7"/>
        <v>0</v>
      </c>
      <c r="AC21" s="185">
        <f t="shared" si="8"/>
        <v>0</v>
      </c>
      <c r="AD21" s="113">
        <f t="shared" si="9"/>
        <v>0</v>
      </c>
      <c r="AE21" s="113">
        <f t="shared" si="4"/>
        <v>0</v>
      </c>
      <c r="AF21" s="185">
        <f t="shared" si="0"/>
        <v>0</v>
      </c>
      <c r="AG21" s="113">
        <f t="shared" si="5"/>
        <v>0</v>
      </c>
      <c r="AH21" s="108">
        <f t="shared" si="10"/>
        <v>0</v>
      </c>
      <c r="AI21" s="108">
        <f t="shared" si="11"/>
        <v>0</v>
      </c>
      <c r="AJ21" s="109">
        <f t="shared" si="12"/>
        <v>0</v>
      </c>
      <c r="AK21" s="109">
        <f t="shared" si="13"/>
        <v>0</v>
      </c>
      <c r="AL21" s="110"/>
      <c r="AM21" s="146"/>
      <c r="AN21" s="111">
        <f t="shared" si="14"/>
        <v>0</v>
      </c>
      <c r="AO21" s="111">
        <f t="shared" si="15"/>
        <v>0</v>
      </c>
      <c r="AP21" s="144">
        <f t="shared" si="16"/>
        <v>0</v>
      </c>
      <c r="AQ21" s="144">
        <f t="shared" si="17"/>
        <v>0</v>
      </c>
      <c r="AR21" s="127" t="e">
        <f t="shared" si="18"/>
        <v>#N/A</v>
      </c>
      <c r="AS21" s="130"/>
      <c r="AT21" s="131"/>
      <c r="AU21" s="132">
        <f t="shared" si="2"/>
        <v>0</v>
      </c>
      <c r="AV21" s="130">
        <v>10079</v>
      </c>
      <c r="AW21" s="131"/>
      <c r="AX21" s="132">
        <f t="shared" si="3"/>
        <v>0</v>
      </c>
    </row>
    <row r="22" spans="1:50" ht="13.15" x14ac:dyDescent="0.35">
      <c r="A22" s="203">
        <v>8</v>
      </c>
      <c r="B22" s="208" t="s">
        <v>4</v>
      </c>
      <c r="C22" s="142">
        <v>0.2</v>
      </c>
      <c r="D22" s="100"/>
      <c r="E22" s="101">
        <v>0.01</v>
      </c>
      <c r="F22" s="102"/>
      <c r="G22" s="102">
        <v>18.5</v>
      </c>
      <c r="H22" s="104"/>
      <c r="I22" s="103"/>
      <c r="J22" s="104"/>
      <c r="K22" s="199"/>
      <c r="L22" s="142"/>
      <c r="M22" s="100"/>
      <c r="N22" s="100"/>
      <c r="O22" s="140"/>
      <c r="P22" s="140"/>
      <c r="Q22" s="206">
        <v>0</v>
      </c>
      <c r="R22" s="112"/>
      <c r="S22" s="102"/>
      <c r="T22" s="104"/>
      <c r="U22" s="105"/>
      <c r="V22" s="106">
        <v>0</v>
      </c>
      <c r="W22" s="106">
        <v>0</v>
      </c>
      <c r="X22" s="106">
        <v>0</v>
      </c>
      <c r="Y22" s="201"/>
      <c r="Z22" s="225">
        <f t="shared" si="1"/>
        <v>0</v>
      </c>
      <c r="AA22" s="107">
        <f t="shared" si="6"/>
        <v>0</v>
      </c>
      <c r="AB22" s="113">
        <f t="shared" si="7"/>
        <v>0</v>
      </c>
      <c r="AC22" s="185">
        <f t="shared" si="8"/>
        <v>0</v>
      </c>
      <c r="AD22" s="113">
        <f t="shared" si="9"/>
        <v>0</v>
      </c>
      <c r="AE22" s="113">
        <f t="shared" si="4"/>
        <v>0</v>
      </c>
      <c r="AF22" s="185">
        <f t="shared" si="0"/>
        <v>0</v>
      </c>
      <c r="AG22" s="113">
        <f t="shared" si="5"/>
        <v>0</v>
      </c>
      <c r="AH22" s="108">
        <f t="shared" si="10"/>
        <v>0</v>
      </c>
      <c r="AI22" s="108">
        <f t="shared" si="11"/>
        <v>0</v>
      </c>
      <c r="AJ22" s="109">
        <f t="shared" si="12"/>
        <v>0</v>
      </c>
      <c r="AK22" s="109">
        <f t="shared" si="13"/>
        <v>0</v>
      </c>
      <c r="AL22" s="110"/>
      <c r="AM22" s="146"/>
      <c r="AN22" s="111">
        <f t="shared" si="14"/>
        <v>0</v>
      </c>
      <c r="AO22" s="111">
        <f t="shared" si="15"/>
        <v>0</v>
      </c>
      <c r="AP22" s="144">
        <f t="shared" si="16"/>
        <v>0</v>
      </c>
      <c r="AQ22" s="144">
        <f t="shared" si="17"/>
        <v>0</v>
      </c>
      <c r="AR22" s="127" t="e">
        <f t="shared" si="18"/>
        <v>#N/A</v>
      </c>
      <c r="AS22" s="130"/>
      <c r="AT22" s="131"/>
      <c r="AU22" s="132">
        <f t="shared" si="2"/>
        <v>0</v>
      </c>
      <c r="AV22" s="130">
        <v>10079</v>
      </c>
      <c r="AW22" s="131"/>
      <c r="AX22" s="132">
        <f t="shared" si="3"/>
        <v>0</v>
      </c>
    </row>
    <row r="23" spans="1:50" ht="13.15" x14ac:dyDescent="0.35">
      <c r="A23" s="203">
        <v>9</v>
      </c>
      <c r="B23" s="208" t="s">
        <v>4</v>
      </c>
      <c r="C23" s="142">
        <v>0.2</v>
      </c>
      <c r="D23" s="100"/>
      <c r="E23" s="101">
        <v>0.01</v>
      </c>
      <c r="F23" s="102"/>
      <c r="G23" s="102">
        <v>18.5</v>
      </c>
      <c r="H23" s="104"/>
      <c r="I23" s="103"/>
      <c r="J23" s="104"/>
      <c r="K23" s="199"/>
      <c r="L23" s="142"/>
      <c r="M23" s="100"/>
      <c r="N23" s="100"/>
      <c r="O23" s="140"/>
      <c r="P23" s="140"/>
      <c r="Q23" s="206">
        <v>0</v>
      </c>
      <c r="R23" s="112"/>
      <c r="S23" s="102"/>
      <c r="T23" s="104"/>
      <c r="U23" s="105"/>
      <c r="V23" s="106">
        <v>0</v>
      </c>
      <c r="W23" s="106">
        <v>0</v>
      </c>
      <c r="X23" s="106">
        <v>0</v>
      </c>
      <c r="Y23" s="201"/>
      <c r="Z23" s="225">
        <f t="shared" si="1"/>
        <v>0</v>
      </c>
      <c r="AA23" s="107">
        <f t="shared" si="6"/>
        <v>0</v>
      </c>
      <c r="AB23" s="113">
        <f t="shared" si="7"/>
        <v>0</v>
      </c>
      <c r="AC23" s="185">
        <f t="shared" si="8"/>
        <v>0</v>
      </c>
      <c r="AD23" s="113">
        <f t="shared" si="9"/>
        <v>0</v>
      </c>
      <c r="AE23" s="113">
        <f t="shared" si="4"/>
        <v>0</v>
      </c>
      <c r="AF23" s="185">
        <f t="shared" si="0"/>
        <v>0</v>
      </c>
      <c r="AG23" s="113">
        <f t="shared" si="5"/>
        <v>0</v>
      </c>
      <c r="AH23" s="108">
        <f t="shared" si="10"/>
        <v>0</v>
      </c>
      <c r="AI23" s="108">
        <f t="shared" si="11"/>
        <v>0</v>
      </c>
      <c r="AJ23" s="109">
        <f t="shared" si="12"/>
        <v>0</v>
      </c>
      <c r="AK23" s="109">
        <f t="shared" si="13"/>
        <v>0</v>
      </c>
      <c r="AL23" s="110"/>
      <c r="AM23" s="146"/>
      <c r="AN23" s="111">
        <f t="shared" si="14"/>
        <v>0</v>
      </c>
      <c r="AO23" s="111">
        <f t="shared" si="15"/>
        <v>0</v>
      </c>
      <c r="AP23" s="144">
        <f t="shared" si="16"/>
        <v>0</v>
      </c>
      <c r="AQ23" s="144">
        <f t="shared" si="17"/>
        <v>0</v>
      </c>
      <c r="AR23" s="127" t="e">
        <f t="shared" si="18"/>
        <v>#N/A</v>
      </c>
      <c r="AS23" s="130"/>
      <c r="AT23" s="131"/>
      <c r="AU23" s="132">
        <f t="shared" si="2"/>
        <v>0</v>
      </c>
      <c r="AV23" s="130">
        <v>10079</v>
      </c>
      <c r="AW23" s="131"/>
      <c r="AX23" s="132">
        <f t="shared" si="3"/>
        <v>0</v>
      </c>
    </row>
    <row r="24" spans="1:50" ht="13.15" x14ac:dyDescent="0.35">
      <c r="A24" s="203">
        <v>10</v>
      </c>
      <c r="B24" s="208" t="s">
        <v>4</v>
      </c>
      <c r="C24" s="142">
        <v>0.2</v>
      </c>
      <c r="D24" s="100"/>
      <c r="E24" s="101">
        <v>0.01</v>
      </c>
      <c r="F24" s="102"/>
      <c r="G24" s="102">
        <v>18.5</v>
      </c>
      <c r="H24" s="104"/>
      <c r="I24" s="103"/>
      <c r="J24" s="104"/>
      <c r="K24" s="199"/>
      <c r="L24" s="142"/>
      <c r="M24" s="100"/>
      <c r="N24" s="100"/>
      <c r="O24" s="140"/>
      <c r="P24" s="140"/>
      <c r="Q24" s="206">
        <v>0</v>
      </c>
      <c r="R24" s="112"/>
      <c r="S24" s="102"/>
      <c r="T24" s="104"/>
      <c r="U24" s="105"/>
      <c r="V24" s="106">
        <v>0</v>
      </c>
      <c r="W24" s="106">
        <v>0</v>
      </c>
      <c r="X24" s="106">
        <v>0</v>
      </c>
      <c r="Y24" s="201"/>
      <c r="Z24" s="225">
        <f t="shared" si="1"/>
        <v>0</v>
      </c>
      <c r="AA24" s="107">
        <f t="shared" si="6"/>
        <v>0</v>
      </c>
      <c r="AB24" s="113">
        <f t="shared" si="7"/>
        <v>0</v>
      </c>
      <c r="AC24" s="185">
        <f t="shared" si="8"/>
        <v>0</v>
      </c>
      <c r="AD24" s="113">
        <f t="shared" si="9"/>
        <v>0</v>
      </c>
      <c r="AE24" s="113">
        <f t="shared" si="4"/>
        <v>0</v>
      </c>
      <c r="AF24" s="185">
        <f t="shared" si="0"/>
        <v>0</v>
      </c>
      <c r="AG24" s="113">
        <f t="shared" si="5"/>
        <v>0</v>
      </c>
      <c r="AH24" s="108">
        <f t="shared" si="10"/>
        <v>0</v>
      </c>
      <c r="AI24" s="108">
        <f t="shared" si="11"/>
        <v>0</v>
      </c>
      <c r="AJ24" s="109">
        <f t="shared" si="12"/>
        <v>0</v>
      </c>
      <c r="AK24" s="109">
        <f t="shared" si="13"/>
        <v>0</v>
      </c>
      <c r="AL24" s="110"/>
      <c r="AM24" s="146"/>
      <c r="AN24" s="111">
        <f t="shared" si="14"/>
        <v>0</v>
      </c>
      <c r="AO24" s="111">
        <f t="shared" si="15"/>
        <v>0</v>
      </c>
      <c r="AP24" s="144">
        <f t="shared" si="16"/>
        <v>0</v>
      </c>
      <c r="AQ24" s="144">
        <f t="shared" si="17"/>
        <v>0</v>
      </c>
      <c r="AR24" s="127" t="e">
        <f t="shared" si="18"/>
        <v>#N/A</v>
      </c>
      <c r="AS24" s="130"/>
      <c r="AT24" s="131"/>
      <c r="AU24" s="132">
        <f t="shared" si="2"/>
        <v>0</v>
      </c>
      <c r="AV24" s="130">
        <v>10079</v>
      </c>
      <c r="AW24" s="131"/>
      <c r="AX24" s="132">
        <f t="shared" si="3"/>
        <v>0</v>
      </c>
    </row>
    <row r="25" spans="1:50" ht="13.15" x14ac:dyDescent="0.35">
      <c r="A25" s="203">
        <v>11</v>
      </c>
      <c r="B25" s="208" t="s">
        <v>4</v>
      </c>
      <c r="C25" s="142">
        <v>0.2</v>
      </c>
      <c r="D25" s="100"/>
      <c r="E25" s="101">
        <v>0.01</v>
      </c>
      <c r="F25" s="102"/>
      <c r="G25" s="102">
        <v>18.5</v>
      </c>
      <c r="H25" s="104"/>
      <c r="I25" s="103"/>
      <c r="J25" s="104"/>
      <c r="K25" s="199"/>
      <c r="L25" s="142"/>
      <c r="M25" s="100"/>
      <c r="N25" s="100"/>
      <c r="O25" s="140"/>
      <c r="P25" s="140"/>
      <c r="Q25" s="206">
        <v>0</v>
      </c>
      <c r="R25" s="112"/>
      <c r="S25" s="102"/>
      <c r="T25" s="104"/>
      <c r="U25" s="105"/>
      <c r="V25" s="106">
        <v>0</v>
      </c>
      <c r="W25" s="106">
        <v>0</v>
      </c>
      <c r="X25" s="106">
        <v>0</v>
      </c>
      <c r="Y25" s="201"/>
      <c r="Z25" s="225">
        <f t="shared" si="1"/>
        <v>0</v>
      </c>
      <c r="AA25" s="107">
        <f t="shared" si="6"/>
        <v>0</v>
      </c>
      <c r="AB25" s="113">
        <f t="shared" si="7"/>
        <v>0</v>
      </c>
      <c r="AC25" s="185">
        <f t="shared" si="8"/>
        <v>0</v>
      </c>
      <c r="AD25" s="113">
        <f t="shared" si="9"/>
        <v>0</v>
      </c>
      <c r="AE25" s="113">
        <f t="shared" si="4"/>
        <v>0</v>
      </c>
      <c r="AF25" s="185">
        <f t="shared" si="0"/>
        <v>0</v>
      </c>
      <c r="AG25" s="113">
        <f t="shared" si="5"/>
        <v>0</v>
      </c>
      <c r="AH25" s="108">
        <f t="shared" si="10"/>
        <v>0</v>
      </c>
      <c r="AI25" s="108">
        <f t="shared" si="11"/>
        <v>0</v>
      </c>
      <c r="AJ25" s="109">
        <f t="shared" si="12"/>
        <v>0</v>
      </c>
      <c r="AK25" s="109">
        <f t="shared" si="13"/>
        <v>0</v>
      </c>
      <c r="AL25" s="110"/>
      <c r="AM25" s="146"/>
      <c r="AN25" s="111">
        <f t="shared" si="14"/>
        <v>0</v>
      </c>
      <c r="AO25" s="111">
        <f t="shared" si="15"/>
        <v>0</v>
      </c>
      <c r="AP25" s="144">
        <f t="shared" si="16"/>
        <v>0</v>
      </c>
      <c r="AQ25" s="144">
        <f t="shared" si="17"/>
        <v>0</v>
      </c>
      <c r="AR25" s="127" t="e">
        <f t="shared" si="18"/>
        <v>#N/A</v>
      </c>
      <c r="AS25" s="130"/>
      <c r="AT25" s="131"/>
      <c r="AU25" s="132">
        <f t="shared" si="2"/>
        <v>0</v>
      </c>
      <c r="AV25" s="130">
        <v>10079</v>
      </c>
      <c r="AW25" s="131"/>
      <c r="AX25" s="132">
        <f t="shared" si="3"/>
        <v>0</v>
      </c>
    </row>
    <row r="26" spans="1:50" ht="13.15" x14ac:dyDescent="0.35">
      <c r="A26" s="203">
        <v>12</v>
      </c>
      <c r="B26" s="208" t="s">
        <v>4</v>
      </c>
      <c r="C26" s="142">
        <v>0.2</v>
      </c>
      <c r="D26" s="100"/>
      <c r="E26" s="101">
        <v>0.01</v>
      </c>
      <c r="F26" s="102"/>
      <c r="G26" s="102">
        <v>18.5</v>
      </c>
      <c r="H26" s="104"/>
      <c r="I26" s="103"/>
      <c r="J26" s="104"/>
      <c r="K26" s="199"/>
      <c r="L26" s="142"/>
      <c r="M26" s="100"/>
      <c r="N26" s="100"/>
      <c r="O26" s="140"/>
      <c r="P26" s="140"/>
      <c r="Q26" s="206">
        <v>0</v>
      </c>
      <c r="R26" s="112"/>
      <c r="S26" s="102"/>
      <c r="T26" s="104"/>
      <c r="U26" s="105"/>
      <c r="V26" s="106">
        <v>0</v>
      </c>
      <c r="W26" s="106">
        <v>0</v>
      </c>
      <c r="X26" s="106">
        <v>0</v>
      </c>
      <c r="Y26" s="201"/>
      <c r="Z26" s="225">
        <f t="shared" si="1"/>
        <v>0</v>
      </c>
      <c r="AA26" s="107">
        <f t="shared" si="6"/>
        <v>0</v>
      </c>
      <c r="AB26" s="113">
        <f t="shared" si="7"/>
        <v>0</v>
      </c>
      <c r="AC26" s="185">
        <f t="shared" si="8"/>
        <v>0</v>
      </c>
      <c r="AD26" s="113">
        <f t="shared" si="9"/>
        <v>0</v>
      </c>
      <c r="AE26" s="113">
        <f t="shared" si="4"/>
        <v>0</v>
      </c>
      <c r="AF26" s="185">
        <f t="shared" si="0"/>
        <v>0</v>
      </c>
      <c r="AG26" s="113">
        <f t="shared" si="5"/>
        <v>0</v>
      </c>
      <c r="AH26" s="108">
        <f t="shared" si="10"/>
        <v>0</v>
      </c>
      <c r="AI26" s="108">
        <f t="shared" si="11"/>
        <v>0</v>
      </c>
      <c r="AJ26" s="109">
        <f t="shared" si="12"/>
        <v>0</v>
      </c>
      <c r="AK26" s="109">
        <f t="shared" si="13"/>
        <v>0</v>
      </c>
      <c r="AL26" s="110"/>
      <c r="AM26" s="146"/>
      <c r="AN26" s="111">
        <f t="shared" si="14"/>
        <v>0</v>
      </c>
      <c r="AO26" s="111">
        <f t="shared" si="15"/>
        <v>0</v>
      </c>
      <c r="AP26" s="144">
        <f t="shared" si="16"/>
        <v>0</v>
      </c>
      <c r="AQ26" s="144">
        <f t="shared" si="17"/>
        <v>0</v>
      </c>
      <c r="AR26" s="127" t="e">
        <f t="shared" si="18"/>
        <v>#N/A</v>
      </c>
      <c r="AS26" s="130"/>
      <c r="AT26" s="131"/>
      <c r="AU26" s="132">
        <f t="shared" si="2"/>
        <v>0</v>
      </c>
      <c r="AV26" s="130">
        <v>10079</v>
      </c>
      <c r="AW26" s="131"/>
      <c r="AX26" s="132">
        <f t="shared" si="3"/>
        <v>0</v>
      </c>
    </row>
    <row r="27" spans="1:50" ht="13.15" x14ac:dyDescent="0.35">
      <c r="A27" s="203">
        <v>13</v>
      </c>
      <c r="B27" s="208" t="s">
        <v>4</v>
      </c>
      <c r="C27" s="142">
        <v>0.2</v>
      </c>
      <c r="D27" s="100"/>
      <c r="E27" s="101">
        <v>0.01</v>
      </c>
      <c r="F27" s="102"/>
      <c r="G27" s="102">
        <v>18.5</v>
      </c>
      <c r="H27" s="104"/>
      <c r="I27" s="103"/>
      <c r="J27" s="104"/>
      <c r="K27" s="199"/>
      <c r="L27" s="142"/>
      <c r="M27" s="100"/>
      <c r="N27" s="100"/>
      <c r="O27" s="140"/>
      <c r="P27" s="140"/>
      <c r="Q27" s="206">
        <v>0</v>
      </c>
      <c r="R27" s="112"/>
      <c r="S27" s="102"/>
      <c r="T27" s="104"/>
      <c r="U27" s="105"/>
      <c r="V27" s="106">
        <v>0</v>
      </c>
      <c r="W27" s="106">
        <v>0</v>
      </c>
      <c r="X27" s="106">
        <v>0</v>
      </c>
      <c r="Y27" s="201"/>
      <c r="Z27" s="225">
        <f t="shared" si="1"/>
        <v>0</v>
      </c>
      <c r="AA27" s="107">
        <f>IF(ISERROR(ROUND(((((((1+$F$6)^Y27)*$F$6)/(((1+$F$6)^Y27)-1)))),3)),0,ROUND(((((((1+$F$6)^Y27)*$F$6)/(((1+$F$6)^Y27)-1)))),3))</f>
        <v>0</v>
      </c>
      <c r="AB27" s="113">
        <f>(((C27*IF(J27="",1,J27)*I27)-((L27*IF(T27="",1,T27)*I27)*(1-V27)))/907200)*K27</f>
        <v>0</v>
      </c>
      <c r="AC27" s="185">
        <f>(((D27*IF(J27="",1,J27)*I27)-((M27*IF(T27="",1,T27)*I27)*(1-W27)))/907200)*K27</f>
        <v>0</v>
      </c>
      <c r="AD27" s="113">
        <f>(((E27*IF(J27="",1,J27)*I27)-((N27*IF(T27="",1,T27)*I27)*(1-X27)))/907200)*K27</f>
        <v>0</v>
      </c>
      <c r="AE27" s="113">
        <f t="shared" si="4"/>
        <v>0</v>
      </c>
      <c r="AF27" s="185">
        <f t="shared" si="0"/>
        <v>0</v>
      </c>
      <c r="AG27" s="113">
        <f t="shared" si="5"/>
        <v>0</v>
      </c>
      <c r="AH27" s="108">
        <f>IF(ISERROR((Z27*AA27)/(AB27+AC27+(20*AD27))),0,((Z27*AA27)/(AB27+AC27+(20*AD27))))</f>
        <v>0</v>
      </c>
      <c r="AI27" s="108">
        <f>IF(ISERROR(((Z27*AA27)/(AE27+AF27+(20*AG27)))),0,((Z27*AA27)/(AE27+AF27+(20*AG27))))</f>
        <v>0</v>
      </c>
      <c r="AJ27" s="109">
        <f>IF(ISERROR(((AB27+AC27+(20*AD27))*$D$5)/AA27),0,((AB27+AC27+(20*AD27))*$D$5)/AA27)</f>
        <v>0</v>
      </c>
      <c r="AK27" s="109">
        <f>IF(ISERROR(((AE27+AF27+(20*AG27))*$D$5)/AA27),0,((AE27+AF27+(20*AG27))*$D$5)/AA27)</f>
        <v>0</v>
      </c>
      <c r="AL27" s="110"/>
      <c r="AM27" s="146"/>
      <c r="AN27" s="111">
        <f>IF(ISERROR((AA27*AM27)/(AB27+AC27+(20*AD27))),0,(AA27*AM27)/(AB27+AC27+(20*AD27)))</f>
        <v>0</v>
      </c>
      <c r="AO27" s="111">
        <f>IF(ISERROR((AA27*AM27)/(AE27+AF27+(20*AG27))),0,(AA27*AM27)/(AE27+AF27+(20*AG27)))</f>
        <v>0</v>
      </c>
      <c r="AP27" s="144">
        <f>IF(ISERROR((AM27/Y27)/(AB27+AC27+(20*AD27))),0,(AM27/Y27)/(AB27+AC27+(20*AD27)))</f>
        <v>0</v>
      </c>
      <c r="AQ27" s="144">
        <f>IF(ISERROR((AM27/Y27)/(AE27+AF27+(20*AG27))),0,(AM27/Y27)/(AE27+AF27+(20*AG27)))</f>
        <v>0</v>
      </c>
      <c r="AR27" s="127" t="e">
        <f>VLOOKUP(AP27,AT31:AU120,2,TRUE)</f>
        <v>#N/A</v>
      </c>
      <c r="AS27" s="130"/>
      <c r="AT27" s="131"/>
      <c r="AU27" s="132">
        <f t="shared" si="2"/>
        <v>0</v>
      </c>
      <c r="AV27" s="130">
        <v>10079</v>
      </c>
      <c r="AW27" s="131"/>
      <c r="AX27" s="132">
        <f t="shared" si="3"/>
        <v>0</v>
      </c>
    </row>
    <row r="28" spans="1:50" ht="13.15" x14ac:dyDescent="0.35">
      <c r="A28" s="203">
        <v>14</v>
      </c>
      <c r="B28" s="208" t="s">
        <v>4</v>
      </c>
      <c r="C28" s="142">
        <v>0.2</v>
      </c>
      <c r="D28" s="100"/>
      <c r="E28" s="101">
        <v>0.01</v>
      </c>
      <c r="F28" s="102"/>
      <c r="G28" s="102">
        <v>18.5</v>
      </c>
      <c r="H28" s="104"/>
      <c r="I28" s="103"/>
      <c r="J28" s="104"/>
      <c r="K28" s="199"/>
      <c r="L28" s="142"/>
      <c r="M28" s="100"/>
      <c r="N28" s="100"/>
      <c r="O28" s="140"/>
      <c r="P28" s="140"/>
      <c r="Q28" s="206">
        <v>0</v>
      </c>
      <c r="R28" s="112"/>
      <c r="S28" s="102"/>
      <c r="T28" s="104"/>
      <c r="U28" s="105"/>
      <c r="V28" s="106">
        <v>0</v>
      </c>
      <c r="W28" s="106">
        <v>0</v>
      </c>
      <c r="X28" s="106">
        <v>0</v>
      </c>
      <c r="Y28" s="201"/>
      <c r="Z28" s="225">
        <f t="shared" si="1"/>
        <v>0</v>
      </c>
      <c r="AA28" s="107">
        <f>IF(ISERROR(ROUND(((((((1+$F$6)^Y28)*$F$6)/(((1+$F$6)^Y28)-1)))),3)),0,ROUND(((((((1+$F$6)^Y28)*$F$6)/(((1+$F$6)^Y28)-1)))),3))</f>
        <v>0</v>
      </c>
      <c r="AB28" s="113">
        <f>(((C28*IF(J28="",1,J28)*I28)-((L28*IF(T28="",1,T28)*I28)*(1-V28)))/907200)*K28</f>
        <v>0</v>
      </c>
      <c r="AC28" s="185">
        <f>(((D28*IF(J28="",1,J28)*I28)-((M28*IF(T28="",1,T28)*I28)*(1-W28)))/907200)*K28</f>
        <v>0</v>
      </c>
      <c r="AD28" s="113">
        <f>(((E28*IF(J28="",1,J28)*I28)-((N28*IF(T28="",1,T28)*I28)*(1-X28)))/907200)*K28</f>
        <v>0</v>
      </c>
      <c r="AE28" s="113">
        <f t="shared" si="4"/>
        <v>0</v>
      </c>
      <c r="AF28" s="185">
        <f t="shared" si="0"/>
        <v>0</v>
      </c>
      <c r="AG28" s="113">
        <f t="shared" si="5"/>
        <v>0</v>
      </c>
      <c r="AH28" s="108">
        <f>IF(ISERROR((Z28*AA28)/(AB28+AC28+(20*AD28))),0,((Z28*AA28)/(AB28+AC28+(20*AD28))))</f>
        <v>0</v>
      </c>
      <c r="AI28" s="108">
        <f>IF(ISERROR(((Z28*AA28)/(AE28+AF28+(20*AG28)))),0,((Z28*AA28)/(AE28+AF28+(20*AG28))))</f>
        <v>0</v>
      </c>
      <c r="AJ28" s="109">
        <f>IF(ISERROR(((AB28+AC28+(20*AD28))*$D$5)/AA28),0,((AB28+AC28+(20*AD28))*$D$5)/AA28)</f>
        <v>0</v>
      </c>
      <c r="AK28" s="109">
        <f>IF(ISERROR(((AE28+AF28+(20*AG28))*$D$5)/AA28),0,((AE28+AF28+(20*AG28))*$D$5)/AA28)</f>
        <v>0</v>
      </c>
      <c r="AL28" s="110"/>
      <c r="AM28" s="146"/>
      <c r="AN28" s="111">
        <f>IF(ISERROR((AA28*AM28)/(AB28+AC28+(20*AD28))),0,(AA28*AM28)/(AB28+AC28+(20*AD28)))</f>
        <v>0</v>
      </c>
      <c r="AO28" s="111">
        <f>IF(ISERROR((AA28*AM28)/(AE28+AF28+(20*AG28))),0,(AA28*AM28)/(AE28+AF28+(20*AG28)))</f>
        <v>0</v>
      </c>
      <c r="AP28" s="144">
        <f>IF(ISERROR((AM28/Y28)/(AB28+AC28+(20*AD28))),0,(AM28/Y28)/(AB28+AC28+(20*AD28)))</f>
        <v>0</v>
      </c>
      <c r="AQ28" s="144">
        <f>IF(ISERROR((AM28/Y28)/(AE28+AF28+(20*AG28))),0,(AM28/Y28)/(AE28+AF28+(20*AG28)))</f>
        <v>0</v>
      </c>
      <c r="AR28" s="127" t="e">
        <f>VLOOKUP(AP28,AT33:AU121,2,TRUE)</f>
        <v>#N/A</v>
      </c>
      <c r="AS28" s="130"/>
      <c r="AT28" s="131"/>
      <c r="AU28" s="132">
        <f t="shared" si="2"/>
        <v>0</v>
      </c>
      <c r="AV28" s="130">
        <v>10079</v>
      </c>
      <c r="AW28" s="131"/>
      <c r="AX28" s="132">
        <f t="shared" si="3"/>
        <v>0</v>
      </c>
    </row>
    <row r="29" spans="1:50" ht="13.15" x14ac:dyDescent="0.35">
      <c r="A29" s="203">
        <v>15</v>
      </c>
      <c r="B29" s="208"/>
      <c r="C29" s="142">
        <v>0.2</v>
      </c>
      <c r="D29" s="100"/>
      <c r="E29" s="101">
        <v>0.01</v>
      </c>
      <c r="F29" s="102"/>
      <c r="G29" s="102">
        <v>18.5</v>
      </c>
      <c r="H29" s="104"/>
      <c r="I29" s="103"/>
      <c r="J29" s="104"/>
      <c r="K29" s="199"/>
      <c r="L29" s="142"/>
      <c r="M29" s="100"/>
      <c r="N29" s="100"/>
      <c r="O29" s="140"/>
      <c r="P29" s="140"/>
      <c r="Q29" s="206">
        <v>0</v>
      </c>
      <c r="R29" s="112"/>
      <c r="S29" s="102"/>
      <c r="T29" s="104"/>
      <c r="U29" s="105"/>
      <c r="V29" s="106">
        <v>0</v>
      </c>
      <c r="W29" s="106">
        <v>0</v>
      </c>
      <c r="X29" s="106">
        <v>0</v>
      </c>
      <c r="Y29" s="201"/>
      <c r="Z29" s="225">
        <f t="shared" si="1"/>
        <v>0</v>
      </c>
      <c r="AA29" s="107">
        <f>IF(ISERROR(ROUND(((((((1+$F$6)^Y29)*$F$6)/(((1+$F$6)^Y29)-1)))),3)),0,ROUND(((((((1+$F$6)^Y29)*$F$6)/(((1+$F$6)^Y29)-1)))),3))</f>
        <v>0</v>
      </c>
      <c r="AB29" s="113">
        <f>(((C29*IF(J29="",1,J29)*I29)-((L29*IF(T29="",1,T29)*I29)*(1-V29)))/907200)*K29</f>
        <v>0</v>
      </c>
      <c r="AC29" s="185">
        <f>(((D29*IF(J29="",1,J29)*I29)-((M29*IF(T29="",1,T29)*I29)*(1-W29)))/907200)*K29</f>
        <v>0</v>
      </c>
      <c r="AD29" s="113">
        <f>(((E29*IF(J29="",1,J29)*I29)-((N29*IF(T29="",1,T29)*I29)*(1-X29)))/907200)*K29</f>
        <v>0</v>
      </c>
      <c r="AE29" s="113">
        <f t="shared" si="4"/>
        <v>0</v>
      </c>
      <c r="AF29" s="185">
        <f t="shared" si="0"/>
        <v>0</v>
      </c>
      <c r="AG29" s="113">
        <f t="shared" si="5"/>
        <v>0</v>
      </c>
      <c r="AH29" s="108">
        <f>IF(ISERROR((Z29*AA29)/(AB29+AC29+(20*AD29))),0,((Z29*AA29)/(AB29+AC29+(20*AD29))))</f>
        <v>0</v>
      </c>
      <c r="AI29" s="108">
        <f>IF(ISERROR(((Z29*AA29)/(AE29+AF29+(20*AG29)))),0,((Z29*AA29)/(AE29+AF29+(20*AG29))))</f>
        <v>0</v>
      </c>
      <c r="AJ29" s="109">
        <f>IF(ISERROR(((AB29+AC29+(20*AD29))*$D$5)/AA29),0,((AB29+AC29+(20*AD29))*$D$5)/AA29)</f>
        <v>0</v>
      </c>
      <c r="AK29" s="109">
        <f>IF(ISERROR(((AE29+AF29+(20*AG29))*$D$5)/AA29),0,((AE29+AF29+(20*AG29))*$D$5)/AA29)</f>
        <v>0</v>
      </c>
      <c r="AL29" s="110"/>
      <c r="AM29" s="146"/>
      <c r="AN29" s="111">
        <f>IF(ISERROR((AA29*AM29)/(AB29+AC29+(20*AD29))),0,(AA29*AM29)/(AB29+AC29+(20*AD29)))</f>
        <v>0</v>
      </c>
      <c r="AO29" s="111">
        <f>IF(ISERROR((AA29*AM29)/(AE29+AF29+(20*AG29))),0,(AA29*AM29)/(AE29+AF29+(20*AG29)))</f>
        <v>0</v>
      </c>
      <c r="AP29" s="144">
        <f>IF(ISERROR((AM29/Y29)/(AB29+AC29+(20*AD29))),0,(AM29/Y29)/(AB29+AC29+(20*AD29)))</f>
        <v>0</v>
      </c>
      <c r="AQ29" s="144">
        <f>IF(ISERROR((AM29/Y29)/(AE29+AF29+(20*AG29))),0,(AM29/Y29)/(AE29+AF29+(20*AG29)))</f>
        <v>0</v>
      </c>
      <c r="AR29" s="127" t="e">
        <f>VLOOKUP(AP29,AT31:AU115,2,TRUE)</f>
        <v>#N/A</v>
      </c>
      <c r="AS29" s="130"/>
      <c r="AT29" s="131"/>
      <c r="AU29" s="132">
        <f t="shared" si="2"/>
        <v>0</v>
      </c>
      <c r="AV29" s="130">
        <v>10079</v>
      </c>
      <c r="AW29" s="131"/>
      <c r="AX29" s="132">
        <f t="shared" si="3"/>
        <v>0</v>
      </c>
    </row>
    <row r="30" spans="1:50" ht="15" customHeight="1" thickBot="1" x14ac:dyDescent="0.45">
      <c r="A30" s="204"/>
      <c r="C30" s="71"/>
      <c r="D30" s="72"/>
      <c r="E30" s="72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4"/>
      <c r="AA30" s="164" t="s">
        <v>45</v>
      </c>
      <c r="AB30" s="165">
        <f t="shared" ref="AB30:AG30" si="19">SUM(AB15:AB29)</f>
        <v>0</v>
      </c>
      <c r="AC30" s="165">
        <f t="shared" si="19"/>
        <v>0</v>
      </c>
      <c r="AD30" s="165">
        <f t="shared" si="19"/>
        <v>0</v>
      </c>
      <c r="AE30" s="209">
        <f t="shared" si="19"/>
        <v>0</v>
      </c>
      <c r="AF30" s="165">
        <f t="shared" si="19"/>
        <v>0</v>
      </c>
      <c r="AG30" s="165">
        <f t="shared" si="19"/>
        <v>0</v>
      </c>
      <c r="AH30" s="164"/>
      <c r="AI30" s="164"/>
      <c r="AJ30" s="166"/>
      <c r="AK30" s="164"/>
      <c r="AL30" s="164"/>
      <c r="AM30" s="167">
        <f>SUM(AM15:AM29)</f>
        <v>0</v>
      </c>
      <c r="AN30" s="166"/>
      <c r="AO30" s="164"/>
      <c r="AP30" s="168"/>
      <c r="AQ30" s="164"/>
      <c r="AR30" s="173" t="e">
        <f>SUM(AR14:AR29)/2</f>
        <v>#N/A</v>
      </c>
      <c r="AS30" s="169"/>
      <c r="AT30" s="169"/>
      <c r="AU30" s="170">
        <f>SUM(AU15:AU29)</f>
        <v>0</v>
      </c>
      <c r="AV30" s="171"/>
      <c r="AW30" s="163"/>
      <c r="AX30" s="172">
        <f>SUM(AX15:AX29)</f>
        <v>0</v>
      </c>
    </row>
    <row r="31" spans="1:50" ht="32.25" customHeight="1" x14ac:dyDescent="0.35">
      <c r="A31" s="182" t="s">
        <v>38</v>
      </c>
      <c r="B31" s="183"/>
      <c r="C31" s="183"/>
      <c r="D31" s="183"/>
      <c r="E31" s="183"/>
      <c r="F31" s="184"/>
      <c r="G31" s="354" t="s">
        <v>135</v>
      </c>
      <c r="H31" s="355"/>
      <c r="I31" s="356"/>
      <c r="J31" s="399" t="s">
        <v>140</v>
      </c>
      <c r="K31" s="400"/>
      <c r="L31" s="401"/>
      <c r="M31" s="20"/>
      <c r="N31" s="9"/>
      <c r="W31" s="24"/>
      <c r="X31" s="24"/>
      <c r="Y31" s="24"/>
    </row>
    <row r="32" spans="1:50" ht="15.75" thickBot="1" x14ac:dyDescent="0.5">
      <c r="A32" s="150"/>
      <c r="B32" s="151"/>
      <c r="C32" s="151"/>
      <c r="D32" s="151"/>
      <c r="E32" s="151"/>
      <c r="F32" s="174"/>
      <c r="G32" s="152" t="s">
        <v>39</v>
      </c>
      <c r="H32" s="151" t="s">
        <v>40</v>
      </c>
      <c r="I32" s="156"/>
      <c r="J32" s="152" t="s">
        <v>39</v>
      </c>
      <c r="K32" s="151" t="s">
        <v>40</v>
      </c>
      <c r="L32" s="174"/>
      <c r="M32" s="175"/>
      <c r="W32" s="24"/>
      <c r="X32" s="24"/>
      <c r="Y32" s="24"/>
    </row>
    <row r="33" spans="1:25" ht="15.4" x14ac:dyDescent="0.45">
      <c r="A33" s="14" t="s">
        <v>118</v>
      </c>
      <c r="B33" s="5"/>
      <c r="C33" s="5"/>
      <c r="D33" s="5"/>
      <c r="E33" s="5"/>
      <c r="F33" s="94"/>
      <c r="G33" s="153">
        <f>AC30</f>
        <v>0</v>
      </c>
      <c r="H33" s="114">
        <f>G33*Yrs_Effectiveness</f>
        <v>0</v>
      </c>
      <c r="I33" s="157"/>
      <c r="J33" s="153">
        <f>AF30</f>
        <v>0</v>
      </c>
      <c r="K33" s="114">
        <f>J33*Yrs_Effectiveness</f>
        <v>0</v>
      </c>
      <c r="L33" s="73"/>
      <c r="M33" s="76" t="s">
        <v>41</v>
      </c>
      <c r="N33" s="11"/>
      <c r="O33" s="11"/>
      <c r="P33" s="11"/>
      <c r="Q33" s="12"/>
      <c r="R33" s="12"/>
      <c r="W33" s="24"/>
      <c r="X33" s="24"/>
      <c r="Y33" s="24"/>
    </row>
    <row r="34" spans="1:25" ht="15.4" x14ac:dyDescent="0.45">
      <c r="A34" s="14" t="s">
        <v>119</v>
      </c>
      <c r="B34" s="5"/>
      <c r="C34" s="5"/>
      <c r="D34" s="5"/>
      <c r="E34" s="5"/>
      <c r="F34" s="94"/>
      <c r="G34" s="153">
        <f>AB30</f>
        <v>0</v>
      </c>
      <c r="H34" s="34">
        <f>G34*Yrs_Effectiveness</f>
        <v>0</v>
      </c>
      <c r="I34" s="158"/>
      <c r="J34" s="153">
        <f>AE30</f>
        <v>0</v>
      </c>
      <c r="K34" s="34">
        <f>J34*Yrs_Effectiveness</f>
        <v>0</v>
      </c>
      <c r="L34" s="74"/>
      <c r="M34" s="76" t="s">
        <v>41</v>
      </c>
      <c r="N34" s="11"/>
      <c r="O34" s="11"/>
      <c r="P34" s="11"/>
      <c r="Q34" s="12"/>
      <c r="R34" s="12"/>
      <c r="W34" s="24"/>
      <c r="X34" s="24"/>
      <c r="Y34" s="24"/>
    </row>
    <row r="35" spans="1:25" ht="15.4" x14ac:dyDescent="0.45">
      <c r="A35" s="14" t="s">
        <v>120</v>
      </c>
      <c r="B35" s="5"/>
      <c r="C35" s="5"/>
      <c r="D35" s="5"/>
      <c r="E35" s="5"/>
      <c r="F35" s="94"/>
      <c r="G35" s="154">
        <f>AD30</f>
        <v>0</v>
      </c>
      <c r="H35" s="34">
        <f>G35*Yrs_Effectiveness</f>
        <v>0</v>
      </c>
      <c r="I35" s="158"/>
      <c r="J35" s="154">
        <f>AG30</f>
        <v>0</v>
      </c>
      <c r="K35" s="34">
        <f>J35*Yrs_Effectiveness</f>
        <v>0</v>
      </c>
      <c r="L35" s="74"/>
      <c r="M35" s="76" t="s">
        <v>41</v>
      </c>
      <c r="N35" s="4"/>
      <c r="O35" s="4"/>
      <c r="P35" s="4"/>
      <c r="Q35" s="12"/>
      <c r="R35" s="12"/>
      <c r="W35" s="24"/>
      <c r="X35" s="24"/>
      <c r="Y35" s="24"/>
    </row>
    <row r="36" spans="1:25" ht="15.4" x14ac:dyDescent="0.45">
      <c r="A36" s="14" t="s">
        <v>121</v>
      </c>
      <c r="B36" s="5"/>
      <c r="C36" s="5"/>
      <c r="D36" s="5"/>
      <c r="E36" s="5"/>
      <c r="F36" s="94"/>
      <c r="G36" s="154">
        <f>Annual_PM_Emissions*20</f>
        <v>0</v>
      </c>
      <c r="H36" s="34">
        <f>Annual_Weighted_PM_Emissions*Yrs_Effectiveness</f>
        <v>0</v>
      </c>
      <c r="I36" s="158"/>
      <c r="J36" s="154">
        <f>Annual_PM_Emissions*20</f>
        <v>0</v>
      </c>
      <c r="K36" s="34">
        <f>J36*Yrs_Effectiveness</f>
        <v>0</v>
      </c>
      <c r="L36" s="74"/>
      <c r="M36" s="76" t="s">
        <v>41</v>
      </c>
      <c r="N36" s="4"/>
      <c r="O36" s="4"/>
      <c r="P36" s="4"/>
      <c r="Q36" s="12"/>
      <c r="R36" s="12"/>
      <c r="W36" s="24"/>
      <c r="X36" s="24"/>
      <c r="Y36" s="24"/>
    </row>
    <row r="37" spans="1:25" ht="15.4" x14ac:dyDescent="0.45">
      <c r="A37" s="77" t="s">
        <v>122</v>
      </c>
      <c r="B37" s="78"/>
      <c r="C37" s="78"/>
      <c r="D37" s="78"/>
      <c r="E37" s="78"/>
      <c r="F37" s="160"/>
      <c r="G37" s="265">
        <f>AU30</f>
        <v>0</v>
      </c>
      <c r="H37" s="266">
        <f>G37*Yrs_Effectiveness</f>
        <v>0</v>
      </c>
      <c r="I37" s="267"/>
      <c r="J37" s="265">
        <f>AX30</f>
        <v>0</v>
      </c>
      <c r="K37" s="266">
        <f>J37*Yrs_Effectiveness</f>
        <v>0</v>
      </c>
      <c r="L37" s="268"/>
      <c r="M37" s="79" t="s">
        <v>41</v>
      </c>
      <c r="N37" s="4"/>
      <c r="O37" s="4"/>
      <c r="P37" s="4"/>
      <c r="Q37" s="4"/>
      <c r="R37" s="12"/>
      <c r="W37" s="24"/>
      <c r="X37" s="24"/>
      <c r="Y37" s="24"/>
    </row>
    <row r="38" spans="1:25" ht="15.4" x14ac:dyDescent="0.45">
      <c r="A38" s="18" t="s">
        <v>123</v>
      </c>
      <c r="B38" s="19"/>
      <c r="C38" s="19"/>
      <c r="D38" s="19"/>
      <c r="E38" s="19"/>
      <c r="F38" s="161"/>
      <c r="G38" s="155">
        <f>G33+G34+G35</f>
        <v>0</v>
      </c>
      <c r="H38" s="34">
        <f>H33+H34+H35</f>
        <v>0</v>
      </c>
      <c r="I38" s="158"/>
      <c r="J38" s="155">
        <f>J33+J34+J35</f>
        <v>0</v>
      </c>
      <c r="K38" s="34">
        <f>K33+K34+K35</f>
        <v>0</v>
      </c>
      <c r="L38" s="74"/>
      <c r="M38" s="33" t="s">
        <v>41</v>
      </c>
      <c r="N38" s="12"/>
      <c r="O38" s="12"/>
      <c r="P38" s="12"/>
      <c r="Q38" s="12"/>
      <c r="R38" s="12"/>
      <c r="W38" s="24"/>
      <c r="X38" s="24"/>
      <c r="Y38" s="24"/>
    </row>
    <row r="39" spans="1:25" ht="16.5" customHeight="1" x14ac:dyDescent="0.35">
      <c r="A39" s="14" t="s">
        <v>124</v>
      </c>
      <c r="B39" s="5"/>
      <c r="C39" s="5"/>
      <c r="D39" s="5"/>
      <c r="E39" s="5"/>
      <c r="F39" s="5"/>
      <c r="G39" s="23"/>
      <c r="H39" s="42" t="e">
        <f>Total_TFCA_Cost/(Lifetime_ROG_Emissions+Lifetime_NOx_Emissions+Lifetime_PM_Emissions)</f>
        <v>#DIV/0!</v>
      </c>
      <c r="I39" s="159"/>
      <c r="J39" s="23"/>
      <c r="K39" s="42" t="e">
        <f>Total_TFCA_Cost/(K33+K34+K35)</f>
        <v>#DIV/0!</v>
      </c>
      <c r="L39" s="75"/>
      <c r="M39" s="33" t="s">
        <v>42</v>
      </c>
      <c r="T39" s="24"/>
      <c r="U39" s="24"/>
      <c r="V39" s="24"/>
    </row>
    <row r="40" spans="1:25" ht="59" customHeight="1" thickBot="1" x14ac:dyDescent="0.5">
      <c r="A40" s="342" t="s">
        <v>125</v>
      </c>
      <c r="B40" s="343"/>
      <c r="C40" s="343"/>
      <c r="D40" s="343"/>
      <c r="E40" s="343"/>
      <c r="F40" s="343"/>
      <c r="G40" s="344"/>
      <c r="H40" s="178" t="e">
        <f>Total_TFCA_Cost/(Lifetime_ROG_Emissions+Lifetime_NOx_Emissions+Lifetime_Weighted_PM_Emissions)</f>
        <v>#DIV/0!</v>
      </c>
      <c r="I40" s="179"/>
      <c r="J40" s="162"/>
      <c r="K40" s="178" t="e">
        <f>Total_TFCA_Cost/(K33+K34+K36)</f>
        <v>#DIV/0!</v>
      </c>
      <c r="L40" s="179"/>
      <c r="M40" s="180" t="s">
        <v>42</v>
      </c>
      <c r="T40" s="24"/>
      <c r="U40" s="24"/>
      <c r="V40" s="24"/>
    </row>
    <row r="41" spans="1:25" x14ac:dyDescent="0.35">
      <c r="A41" s="22"/>
      <c r="B41" s="4"/>
      <c r="C41" s="4"/>
      <c r="D41" s="4"/>
      <c r="I41" s="2"/>
      <c r="R41" s="24"/>
      <c r="S41" s="24"/>
      <c r="T41" s="24"/>
    </row>
    <row r="42" spans="1:25" x14ac:dyDescent="0.35">
      <c r="A42" s="3"/>
      <c r="B42" s="4"/>
      <c r="C42" s="4"/>
      <c r="D42" s="4"/>
      <c r="I42" s="2"/>
      <c r="R42" s="24"/>
      <c r="S42" s="24"/>
      <c r="T42" s="24"/>
    </row>
    <row r="43" spans="1:25" x14ac:dyDescent="0.35">
      <c r="A43" s="3"/>
      <c r="B43" s="4"/>
      <c r="C43" s="4"/>
      <c r="D43" s="4"/>
      <c r="E43" s="4"/>
      <c r="F43" s="4"/>
      <c r="I43" s="2"/>
      <c r="R43" s="24"/>
      <c r="S43" s="24"/>
      <c r="T43" s="24"/>
    </row>
    <row r="44" spans="1:25" x14ac:dyDescent="0.35">
      <c r="A44" s="32"/>
      <c r="B44" s="26"/>
      <c r="C44" s="26"/>
      <c r="D44" s="26"/>
      <c r="E44" s="26"/>
      <c r="F44" s="4"/>
      <c r="G44" s="4"/>
      <c r="H44" s="4"/>
      <c r="K44" s="13"/>
      <c r="Q44" s="24"/>
      <c r="R44" s="24"/>
      <c r="S44" s="24"/>
    </row>
    <row r="45" spans="1:25" x14ac:dyDescent="0.35">
      <c r="A45" s="4"/>
      <c r="B45" s="4"/>
      <c r="C45" s="29"/>
      <c r="D45" s="29"/>
      <c r="E45" s="8"/>
      <c r="F45" s="4"/>
      <c r="G45" s="4"/>
      <c r="H45" s="4"/>
      <c r="K45" s="13"/>
      <c r="Q45" s="24"/>
      <c r="R45" s="24"/>
      <c r="S45" s="24"/>
    </row>
    <row r="46" spans="1:25" x14ac:dyDescent="0.35">
      <c r="A46" s="4"/>
      <c r="B46" s="8"/>
      <c r="C46" s="30"/>
      <c r="D46" s="29"/>
      <c r="E46" s="138"/>
      <c r="F46" s="4"/>
      <c r="G46" s="8"/>
      <c r="K46" s="4"/>
      <c r="Q46" s="24"/>
      <c r="R46" s="24"/>
      <c r="S46" s="24"/>
    </row>
    <row r="47" spans="1:25" x14ac:dyDescent="0.35">
      <c r="A47" s="4"/>
      <c r="B47" s="4"/>
      <c r="C47" s="29"/>
      <c r="D47" s="29"/>
      <c r="E47" s="138"/>
      <c r="F47" s="4"/>
      <c r="Q47" s="24"/>
      <c r="R47" s="24"/>
      <c r="S47" s="24"/>
    </row>
    <row r="48" spans="1:25" x14ac:dyDescent="0.35">
      <c r="A48" s="3"/>
      <c r="B48" s="4"/>
      <c r="C48" s="29"/>
      <c r="D48" s="4"/>
      <c r="E48" s="138"/>
      <c r="F48" s="4"/>
      <c r="K48" s="4"/>
      <c r="Q48" s="24"/>
      <c r="R48" s="24"/>
      <c r="S48" s="24"/>
    </row>
    <row r="49" spans="1:19" x14ac:dyDescent="0.35">
      <c r="A49" s="3"/>
      <c r="B49" s="4"/>
      <c r="C49" s="4"/>
      <c r="D49" s="4"/>
      <c r="E49" s="138"/>
      <c r="F49" s="4"/>
      <c r="Q49" s="24"/>
      <c r="R49" s="24"/>
      <c r="S49" s="24"/>
    </row>
    <row r="50" spans="1:19" x14ac:dyDescent="0.35">
      <c r="A50" s="4"/>
      <c r="B50" s="17"/>
      <c r="C50" s="4"/>
      <c r="D50" s="4"/>
      <c r="E50" s="138"/>
      <c r="F50" s="4"/>
      <c r="K50" s="4"/>
      <c r="Q50" s="24"/>
      <c r="R50" s="24"/>
      <c r="S50" s="24"/>
    </row>
    <row r="51" spans="1:19" x14ac:dyDescent="0.35">
      <c r="A51" s="4"/>
      <c r="B51" s="17"/>
      <c r="C51" s="4"/>
      <c r="D51" s="4"/>
      <c r="E51" s="138"/>
      <c r="F51" s="4"/>
      <c r="Q51" s="24"/>
      <c r="R51" s="24"/>
      <c r="S51" s="24"/>
    </row>
    <row r="52" spans="1:19" x14ac:dyDescent="0.35">
      <c r="A52" s="3"/>
      <c r="B52" s="17"/>
      <c r="C52" s="4"/>
      <c r="D52" s="4"/>
      <c r="E52" s="138"/>
      <c r="F52" s="4"/>
      <c r="Q52" s="24"/>
      <c r="R52" s="24"/>
      <c r="S52" s="24"/>
    </row>
    <row r="53" spans="1:19" x14ac:dyDescent="0.35">
      <c r="A53" s="4"/>
      <c r="B53" s="4"/>
      <c r="C53" s="16"/>
      <c r="D53" s="31"/>
      <c r="E53" s="138"/>
      <c r="F53" s="4"/>
      <c r="Q53" s="24"/>
      <c r="R53" s="24"/>
      <c r="S53" s="24"/>
    </row>
    <row r="54" spans="1:19" x14ac:dyDescent="0.35">
      <c r="A54" s="4"/>
      <c r="B54" s="4"/>
      <c r="C54" s="4"/>
      <c r="D54" s="31"/>
      <c r="E54" s="138"/>
      <c r="F54" s="4"/>
      <c r="Q54" s="24"/>
      <c r="R54" s="24"/>
      <c r="S54" s="24"/>
    </row>
    <row r="55" spans="1:19" x14ac:dyDescent="0.35">
      <c r="A55" s="4"/>
      <c r="B55" s="4"/>
      <c r="C55" s="4"/>
      <c r="D55" s="4"/>
      <c r="E55" s="138"/>
      <c r="F55" s="4"/>
      <c r="Q55" s="24"/>
      <c r="R55" s="24"/>
      <c r="S55" s="24"/>
    </row>
    <row r="56" spans="1:19" x14ac:dyDescent="0.35">
      <c r="A56" s="4"/>
      <c r="B56" s="4"/>
      <c r="C56" s="4"/>
      <c r="D56" s="4"/>
      <c r="E56" s="138"/>
      <c r="F56" s="4"/>
      <c r="Q56" s="24"/>
      <c r="R56" s="24"/>
      <c r="S56" s="24"/>
    </row>
    <row r="57" spans="1:19" x14ac:dyDescent="0.35">
      <c r="A57" s="4"/>
      <c r="B57" s="4"/>
      <c r="C57" s="4"/>
      <c r="D57" s="4"/>
      <c r="E57" s="138"/>
      <c r="F57" s="4"/>
      <c r="Q57" s="24"/>
      <c r="R57" s="24"/>
      <c r="S57" s="24"/>
    </row>
    <row r="58" spans="1:19" x14ac:dyDescent="0.35">
      <c r="A58" s="4"/>
      <c r="B58" s="4"/>
      <c r="C58" s="4"/>
      <c r="D58" s="4"/>
      <c r="E58" s="138"/>
      <c r="F58" s="4"/>
      <c r="Q58" s="24"/>
      <c r="R58" s="24"/>
      <c r="S58" s="24"/>
    </row>
    <row r="59" spans="1:19" x14ac:dyDescent="0.35">
      <c r="A59" s="4"/>
      <c r="B59" s="4"/>
      <c r="C59" s="4"/>
      <c r="D59" s="4"/>
      <c r="E59" s="138"/>
      <c r="F59" s="4"/>
      <c r="Q59" s="24"/>
      <c r="R59" s="24"/>
      <c r="S59" s="24"/>
    </row>
    <row r="60" spans="1:19" x14ac:dyDescent="0.35">
      <c r="A60" s="4"/>
      <c r="B60" s="4"/>
      <c r="C60" s="4"/>
      <c r="D60" s="4"/>
      <c r="E60" s="138"/>
      <c r="F60" s="4"/>
      <c r="Q60" s="24"/>
      <c r="R60" s="24"/>
      <c r="S60" s="24"/>
    </row>
    <row r="61" spans="1:19" x14ac:dyDescent="0.35">
      <c r="A61" s="4"/>
      <c r="B61" s="4"/>
      <c r="C61" s="4"/>
      <c r="D61" s="4"/>
      <c r="E61" s="138"/>
      <c r="F61" s="4"/>
      <c r="Q61" s="24"/>
      <c r="R61" s="24"/>
      <c r="S61" s="24"/>
    </row>
    <row r="62" spans="1:19" x14ac:dyDescent="0.35">
      <c r="A62" s="4"/>
      <c r="B62" s="4"/>
      <c r="C62" s="4"/>
      <c r="D62" s="4"/>
      <c r="E62" s="138"/>
      <c r="F62" s="4"/>
      <c r="Q62" s="24"/>
      <c r="R62" s="24"/>
      <c r="S62" s="24"/>
    </row>
    <row r="63" spans="1:19" x14ac:dyDescent="0.35">
      <c r="A63" s="4"/>
      <c r="B63" s="4"/>
      <c r="C63" s="4"/>
      <c r="D63" s="4"/>
      <c r="E63" s="138"/>
      <c r="F63" s="4"/>
      <c r="Q63" s="24"/>
      <c r="R63" s="24"/>
      <c r="S63" s="24"/>
    </row>
    <row r="64" spans="1:19" x14ac:dyDescent="0.35">
      <c r="A64" s="4"/>
      <c r="B64" s="4"/>
      <c r="C64" s="4"/>
      <c r="D64" s="4"/>
      <c r="E64" s="138"/>
      <c r="F64" s="4"/>
      <c r="Q64" s="24"/>
      <c r="R64" s="24"/>
      <c r="S64" s="24"/>
    </row>
    <row r="65" spans="1:19" x14ac:dyDescent="0.35">
      <c r="A65" s="4"/>
      <c r="B65" s="4"/>
      <c r="C65" s="4"/>
      <c r="D65" s="4"/>
      <c r="E65" s="138"/>
      <c r="F65" s="4"/>
      <c r="M65" s="13"/>
      <c r="Q65" s="24"/>
      <c r="R65" s="24"/>
      <c r="S65" s="24"/>
    </row>
    <row r="66" spans="1:19" x14ac:dyDescent="0.35">
      <c r="A66" s="4"/>
      <c r="B66" s="4"/>
      <c r="C66" s="4"/>
      <c r="D66" s="4"/>
      <c r="E66" s="139"/>
      <c r="F66" s="4"/>
      <c r="M66" s="13"/>
    </row>
    <row r="67" spans="1:19" x14ac:dyDescent="0.35">
      <c r="A67" s="4"/>
      <c r="B67" s="4"/>
      <c r="C67" s="4"/>
      <c r="D67" s="4"/>
      <c r="E67" s="138"/>
      <c r="F67" s="4"/>
      <c r="M67" s="13"/>
    </row>
    <row r="68" spans="1:19" x14ac:dyDescent="0.35">
      <c r="A68" s="4"/>
      <c r="B68" s="4"/>
      <c r="C68" s="4"/>
      <c r="D68" s="4"/>
      <c r="E68" s="138"/>
      <c r="F68" s="4"/>
      <c r="M68" s="13"/>
    </row>
    <row r="69" spans="1:19" x14ac:dyDescent="0.35">
      <c r="A69" s="4"/>
      <c r="B69" s="4"/>
      <c r="C69" s="4"/>
      <c r="D69" s="4"/>
      <c r="E69" s="138"/>
      <c r="F69" s="4"/>
      <c r="M69" s="13"/>
    </row>
    <row r="70" spans="1:19" x14ac:dyDescent="0.35">
      <c r="A70" s="4"/>
      <c r="B70" s="4"/>
      <c r="C70" s="4"/>
      <c r="D70" s="4"/>
      <c r="E70" s="138"/>
      <c r="F70" s="4"/>
      <c r="M70" s="13"/>
    </row>
    <row r="71" spans="1:19" x14ac:dyDescent="0.35">
      <c r="A71" s="4"/>
      <c r="B71" s="4"/>
      <c r="C71" s="4"/>
      <c r="D71" s="4"/>
      <c r="E71" s="138"/>
      <c r="F71" s="4"/>
      <c r="M71" s="13"/>
    </row>
    <row r="72" spans="1:19" x14ac:dyDescent="0.35">
      <c r="A72" s="4"/>
      <c r="B72" s="4"/>
      <c r="C72" s="4"/>
      <c r="D72" s="4"/>
      <c r="E72" s="138"/>
      <c r="F72" s="4"/>
      <c r="M72" s="13"/>
    </row>
    <row r="73" spans="1:19" x14ac:dyDescent="0.35">
      <c r="A73" s="4"/>
      <c r="B73" s="4"/>
      <c r="C73" s="4"/>
      <c r="D73" s="4"/>
      <c r="E73" s="138"/>
      <c r="F73" s="4"/>
      <c r="M73" s="13"/>
    </row>
    <row r="74" spans="1:19" x14ac:dyDescent="0.35">
      <c r="A74" s="4"/>
      <c r="B74" s="4"/>
      <c r="C74" s="4"/>
      <c r="D74" s="4"/>
      <c r="E74" s="138"/>
      <c r="F74" s="4"/>
      <c r="M74" s="13"/>
    </row>
    <row r="75" spans="1:19" x14ac:dyDescent="0.35">
      <c r="A75" s="4"/>
      <c r="B75" s="4"/>
      <c r="C75" s="4"/>
      <c r="D75" s="4"/>
      <c r="E75" s="138"/>
      <c r="F75" s="4"/>
    </row>
    <row r="76" spans="1:19" x14ac:dyDescent="0.35">
      <c r="A76" s="4"/>
      <c r="B76" s="4"/>
      <c r="C76" s="4"/>
      <c r="D76" s="4"/>
      <c r="E76" s="138"/>
      <c r="F76" s="4"/>
    </row>
    <row r="77" spans="1:19" x14ac:dyDescent="0.35">
      <c r="A77" s="4"/>
      <c r="B77" s="4"/>
      <c r="C77" s="4"/>
      <c r="D77" s="4"/>
      <c r="E77" s="138"/>
      <c r="F77" s="4"/>
    </row>
    <row r="78" spans="1:19" x14ac:dyDescent="0.35">
      <c r="A78" s="4"/>
      <c r="B78" s="4"/>
      <c r="C78" s="4"/>
      <c r="D78" s="4"/>
      <c r="E78" s="138"/>
      <c r="F78" s="4"/>
    </row>
    <row r="79" spans="1:19" x14ac:dyDescent="0.35">
      <c r="A79" s="4"/>
      <c r="B79" s="4"/>
      <c r="C79" s="4"/>
      <c r="D79" s="4"/>
      <c r="E79" s="138"/>
      <c r="F79" s="4"/>
    </row>
    <row r="80" spans="1:19" x14ac:dyDescent="0.35">
      <c r="A80" s="4"/>
      <c r="B80" s="4"/>
      <c r="C80" s="4"/>
      <c r="D80" s="4"/>
      <c r="E80" s="4"/>
      <c r="F80" s="4"/>
    </row>
    <row r="92" spans="6:6" x14ac:dyDescent="0.35">
      <c r="F92" s="6"/>
    </row>
  </sheetData>
  <mergeCells count="64">
    <mergeCell ref="AS11:AS13"/>
    <mergeCell ref="AT11:AT13"/>
    <mergeCell ref="H1:K1"/>
    <mergeCell ref="J31:L31"/>
    <mergeCell ref="AS9:AX9"/>
    <mergeCell ref="S11:S13"/>
    <mergeCell ref="T11:T13"/>
    <mergeCell ref="S10:T10"/>
    <mergeCell ref="I10:I13"/>
    <mergeCell ref="J10:J13"/>
    <mergeCell ref="AI11:AI13"/>
    <mergeCell ref="AJ11:AJ13"/>
    <mergeCell ref="AV11:AV13"/>
    <mergeCell ref="AW11:AW13"/>
    <mergeCell ref="AU11:AU13"/>
    <mergeCell ref="AX11:AX13"/>
    <mergeCell ref="AV10:AX10"/>
    <mergeCell ref="AS10:AU10"/>
    <mergeCell ref="AR10:AR13"/>
    <mergeCell ref="AA10:AA13"/>
    <mergeCell ref="AB10:AG10"/>
    <mergeCell ref="AH10:AI10"/>
    <mergeCell ref="AJ10:AK10"/>
    <mergeCell ref="AP10:AP13"/>
    <mergeCell ref="AQ10:AQ13"/>
    <mergeCell ref="AL10:AL13"/>
    <mergeCell ref="AM10:AM13"/>
    <mergeCell ref="AN10:AN13"/>
    <mergeCell ref="AK11:AK13"/>
    <mergeCell ref="AO10:AO13"/>
    <mergeCell ref="AB11:AD12"/>
    <mergeCell ref="AE11:AG12"/>
    <mergeCell ref="AH11:AH13"/>
    <mergeCell ref="V12:V13"/>
    <mergeCell ref="X12:X13"/>
    <mergeCell ref="K10:K13"/>
    <mergeCell ref="L10:N10"/>
    <mergeCell ref="L12:L13"/>
    <mergeCell ref="A40:G40"/>
    <mergeCell ref="C10:E10"/>
    <mergeCell ref="F10:F13"/>
    <mergeCell ref="G10:G13"/>
    <mergeCell ref="C12:C13"/>
    <mergeCell ref="D12:D13"/>
    <mergeCell ref="E12:E13"/>
    <mergeCell ref="G31:I31"/>
    <mergeCell ref="A9:A12"/>
    <mergeCell ref="B9:B12"/>
    <mergeCell ref="S1:S2"/>
    <mergeCell ref="T1:T2"/>
    <mergeCell ref="Z9:AO9"/>
    <mergeCell ref="H10:H13"/>
    <mergeCell ref="O10:O13"/>
    <mergeCell ref="P10:P13"/>
    <mergeCell ref="M12:M13"/>
    <mergeCell ref="N12:N13"/>
    <mergeCell ref="Q10:Q13"/>
    <mergeCell ref="Z10:Z13"/>
    <mergeCell ref="C9:K9"/>
    <mergeCell ref="L9:Y9"/>
    <mergeCell ref="R10:R13"/>
    <mergeCell ref="U10:U13"/>
    <mergeCell ref="V10:X10"/>
    <mergeCell ref="Y10:Y13"/>
  </mergeCells>
  <phoneticPr fontId="0" type="noConversion"/>
  <conditionalFormatting sqref="AN30">
    <cfRule type="cellIs" dxfId="6" priority="1" stopIfTrue="1" operator="greaterThan">
      <formula>16000</formula>
    </cfRule>
    <cfRule type="cellIs" dxfId="5" priority="2" stopIfTrue="1" operator="equal">
      <formula>"-"</formula>
    </cfRule>
  </conditionalFormatting>
  <conditionalFormatting sqref="AN14:AO29">
    <cfRule type="cellIs" dxfId="4" priority="3" stopIfTrue="1" operator="equal">
      <formula>0</formula>
    </cfRule>
    <cfRule type="cellIs" dxfId="3" priority="4" stopIfTrue="1" operator="greaterThan">
      <formula>$D$5</formula>
    </cfRule>
  </conditionalFormatting>
  <conditionalFormatting sqref="AJ14:AK29 AP14:AQ29 AA14:AG29">
    <cfRule type="cellIs" dxfId="2" priority="5" stopIfTrue="1" operator="equal">
      <formula>0</formula>
    </cfRule>
  </conditionalFormatting>
  <conditionalFormatting sqref="AH14:AI29">
    <cfRule type="cellIs" dxfId="1" priority="6" stopIfTrue="1" operator="equal">
      <formula>0</formula>
    </cfRule>
    <cfRule type="cellIs" dxfId="0" priority="7" stopIfTrue="1" operator="greaterThan">
      <formula>$D$5</formula>
    </cfRule>
  </conditionalFormatting>
  <pageMargins left="0.42" right="0.5" top="0.5" bottom="0.67" header="0.5" footer="0.5"/>
  <pageSetup paperSize="17" scale="63" orientation="landscape" r:id="rId1"/>
  <headerFooter alignWithMargins="0">
    <oddFooter>&amp;C&amp;F&amp;R&amp;D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workbookViewId="0">
      <selection activeCell="A3" sqref="A3"/>
    </sheetView>
  </sheetViews>
  <sheetFormatPr defaultColWidth="8.640625" defaultRowHeight="12.4" x14ac:dyDescent="0.35"/>
  <sheetData>
    <row r="1" spans="1:11" ht="15.4" thickBot="1" x14ac:dyDescent="0.45">
      <c r="A1" s="38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3" spans="1:11" x14ac:dyDescent="0.35">
      <c r="A3" s="210" t="s">
        <v>144</v>
      </c>
    </row>
  </sheetData>
  <phoneticPr fontId="14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75"/>
  <sheetViews>
    <sheetView zoomScale="120" zoomScaleNormal="120" workbookViewId="0">
      <selection activeCell="A4" sqref="A4"/>
    </sheetView>
  </sheetViews>
  <sheetFormatPr defaultColWidth="8.640625" defaultRowHeight="12.4" x14ac:dyDescent="0.35"/>
  <cols>
    <col min="1" max="1" width="14.5703125" style="7" customWidth="1"/>
    <col min="2" max="2" width="8.5703125" style="7" customWidth="1"/>
    <col min="3" max="3" width="12.35546875" style="7" customWidth="1"/>
    <col min="4" max="4" width="8.85546875" style="7" customWidth="1"/>
    <col min="5" max="5" width="10.5703125" style="7" customWidth="1"/>
    <col min="6" max="6" width="10.85546875" style="7" customWidth="1"/>
    <col min="7" max="7" width="8.640625" style="7" customWidth="1"/>
    <col min="8" max="8" width="8" style="7" customWidth="1"/>
    <col min="9" max="9" width="7.640625" style="7" customWidth="1"/>
    <col min="10" max="10" width="8.640625" style="7" customWidth="1"/>
    <col min="11" max="11" width="10.5703125" style="7" customWidth="1"/>
    <col min="12" max="12" width="10.140625" style="7" customWidth="1"/>
    <col min="13" max="13" width="8.35546875" style="7" customWidth="1"/>
    <col min="14" max="14" width="8.640625" style="7" customWidth="1"/>
    <col min="15" max="15" width="11" style="7" customWidth="1"/>
    <col min="16" max="16" width="10.5703125" style="7" customWidth="1"/>
    <col min="17" max="17" width="8.5703125" style="7" customWidth="1"/>
    <col min="18" max="22" width="8.640625" style="7" customWidth="1"/>
    <col min="23" max="23" width="17.5703125" style="7" customWidth="1"/>
    <col min="24" max="25" width="11.35546875" style="7" customWidth="1"/>
    <col min="26" max="16384" width="8.640625" style="7"/>
  </cols>
  <sheetData>
    <row r="1" spans="1:10" ht="15" x14ac:dyDescent="0.4">
      <c r="A1" s="269" t="s">
        <v>127</v>
      </c>
    </row>
    <row r="2" spans="1:10" ht="17.649999999999999" x14ac:dyDescent="0.5">
      <c r="A2" s="270" t="s">
        <v>271</v>
      </c>
    </row>
    <row r="3" spans="1:10" x14ac:dyDescent="0.35">
      <c r="A3" s="271" t="s">
        <v>273</v>
      </c>
    </row>
    <row r="5" spans="1:10" ht="13.15" x14ac:dyDescent="0.35">
      <c r="A5" s="272" t="s">
        <v>115</v>
      </c>
    </row>
    <row r="6" spans="1:10" ht="12.75" thickBot="1" x14ac:dyDescent="0.4"/>
    <row r="7" spans="1:10" ht="12.6" customHeight="1" x14ac:dyDescent="0.5">
      <c r="A7" s="235" t="s">
        <v>183</v>
      </c>
      <c r="B7" s="20"/>
      <c r="C7" s="20"/>
      <c r="D7" s="20"/>
      <c r="E7" s="20"/>
      <c r="F7" s="20"/>
      <c r="G7" s="20"/>
      <c r="H7" s="20"/>
      <c r="I7" s="273"/>
    </row>
    <row r="8" spans="1:10" x14ac:dyDescent="0.35">
      <c r="A8" s="22"/>
      <c r="B8" s="3"/>
      <c r="C8" s="3"/>
      <c r="D8" s="3"/>
      <c r="E8" s="3"/>
      <c r="F8" s="3"/>
      <c r="G8" s="3"/>
      <c r="H8" s="3"/>
      <c r="I8" s="274"/>
    </row>
    <row r="9" spans="1:10" ht="17.25" x14ac:dyDescent="0.4">
      <c r="A9" s="275" t="s">
        <v>184</v>
      </c>
      <c r="B9" s="3"/>
      <c r="C9" s="3"/>
      <c r="D9" s="3"/>
      <c r="E9" s="3"/>
      <c r="F9" s="3"/>
      <c r="G9" s="3"/>
      <c r="H9" s="3"/>
      <c r="I9" s="274"/>
    </row>
    <row r="10" spans="1:10" ht="26.25" x14ac:dyDescent="0.35">
      <c r="A10" s="264" t="s">
        <v>47</v>
      </c>
      <c r="B10" s="261" t="s">
        <v>185</v>
      </c>
      <c r="C10" s="261" t="s">
        <v>48</v>
      </c>
      <c r="D10" s="261" t="s">
        <v>186</v>
      </c>
      <c r="E10" s="261" t="s">
        <v>187</v>
      </c>
      <c r="F10" s="261" t="s">
        <v>188</v>
      </c>
      <c r="G10" s="261" t="s">
        <v>189</v>
      </c>
      <c r="H10" s="236"/>
      <c r="I10" s="236"/>
      <c r="J10" s="98"/>
    </row>
    <row r="11" spans="1:10" ht="12.75" x14ac:dyDescent="0.35">
      <c r="A11" s="249" t="s">
        <v>191</v>
      </c>
      <c r="B11" s="40">
        <v>0.75</v>
      </c>
      <c r="C11" s="40">
        <v>14.52</v>
      </c>
      <c r="D11" s="40">
        <v>0.64</v>
      </c>
      <c r="E11" s="237">
        <v>0.69</v>
      </c>
      <c r="F11" s="238">
        <v>0.28900670746144486</v>
      </c>
      <c r="G11" s="239">
        <v>1321.1787480891282</v>
      </c>
      <c r="H11" s="276"/>
      <c r="I11" s="277"/>
    </row>
    <row r="12" spans="1:10" ht="12.75" x14ac:dyDescent="0.35">
      <c r="A12" s="249" t="s">
        <v>192</v>
      </c>
      <c r="B12" s="40">
        <v>0.59</v>
      </c>
      <c r="C12" s="40">
        <v>14.31</v>
      </c>
      <c r="D12" s="40">
        <v>0.69</v>
      </c>
      <c r="E12" s="237">
        <v>0.75</v>
      </c>
      <c r="F12" s="238">
        <v>0.28900670746144486</v>
      </c>
      <c r="G12" s="239">
        <v>1307.3241610814648</v>
      </c>
      <c r="H12" s="276"/>
      <c r="I12" s="277"/>
    </row>
    <row r="13" spans="1:10" ht="12.75" x14ac:dyDescent="0.35">
      <c r="A13" s="249" t="s">
        <v>177</v>
      </c>
      <c r="B13" s="40">
        <v>0.26</v>
      </c>
      <c r="C13" s="40">
        <v>10.7</v>
      </c>
      <c r="D13" s="40">
        <v>0.38</v>
      </c>
      <c r="E13" s="237">
        <v>0.41</v>
      </c>
      <c r="F13" s="238">
        <v>0.28900670746144486</v>
      </c>
      <c r="G13" s="239">
        <v>1266.3030681336984</v>
      </c>
      <c r="H13" s="276"/>
      <c r="I13" s="277"/>
    </row>
    <row r="14" spans="1:10" ht="12.75" x14ac:dyDescent="0.35">
      <c r="A14" s="249" t="s">
        <v>178</v>
      </c>
      <c r="B14" s="40">
        <v>0.2</v>
      </c>
      <c r="C14" s="40">
        <v>10.51</v>
      </c>
      <c r="D14" s="40">
        <v>0.21</v>
      </c>
      <c r="E14" s="237">
        <v>0.23</v>
      </c>
      <c r="F14" s="238">
        <v>0.28900670746144486</v>
      </c>
      <c r="G14" s="239">
        <v>1171.0085935673001</v>
      </c>
      <c r="H14" s="276"/>
      <c r="I14" s="277"/>
    </row>
    <row r="15" spans="1:10" ht="12.75" x14ac:dyDescent="0.35">
      <c r="A15" s="249" t="s">
        <v>193</v>
      </c>
      <c r="B15" s="40">
        <v>0.2</v>
      </c>
      <c r="C15" s="40">
        <v>10.33</v>
      </c>
      <c r="D15" s="40">
        <v>0.23</v>
      </c>
      <c r="E15" s="237">
        <v>0.25</v>
      </c>
      <c r="F15" s="238">
        <v>0.28900670746144486</v>
      </c>
      <c r="G15" s="239">
        <v>1200.9595512358699</v>
      </c>
      <c r="H15" s="276"/>
      <c r="I15" s="277"/>
    </row>
    <row r="16" spans="1:10" ht="12.75" x14ac:dyDescent="0.35">
      <c r="A16" s="249" t="s">
        <v>194</v>
      </c>
      <c r="B16" s="40">
        <v>0.13</v>
      </c>
      <c r="C16" s="40">
        <v>6.84</v>
      </c>
      <c r="D16" s="40">
        <v>0.14000000000000001</v>
      </c>
      <c r="E16" s="237">
        <v>0.16</v>
      </c>
      <c r="F16" s="238">
        <v>0.28900670746144486</v>
      </c>
      <c r="G16" s="239">
        <v>1215.3753086091176</v>
      </c>
      <c r="H16" s="276"/>
      <c r="I16" s="277"/>
    </row>
    <row r="17" spans="1:9" ht="12.75" x14ac:dyDescent="0.35">
      <c r="A17" s="249" t="s">
        <v>179</v>
      </c>
      <c r="B17" s="40">
        <v>0.11</v>
      </c>
      <c r="C17" s="40">
        <v>4.01</v>
      </c>
      <c r="D17" s="40">
        <v>0.02</v>
      </c>
      <c r="E17" s="237">
        <v>0.02</v>
      </c>
      <c r="F17" s="238">
        <v>0.28900670746144486</v>
      </c>
      <c r="G17" s="239">
        <v>1241.9046837675289</v>
      </c>
      <c r="H17" s="276"/>
      <c r="I17" s="277"/>
    </row>
    <row r="18" spans="1:9" ht="39.75" x14ac:dyDescent="0.35">
      <c r="A18" s="250" t="s">
        <v>195</v>
      </c>
      <c r="B18" s="251">
        <v>0.1</v>
      </c>
      <c r="C18" s="251">
        <v>1.73</v>
      </c>
      <c r="D18" s="251">
        <v>0.02</v>
      </c>
      <c r="E18" s="240">
        <v>1.7000000000000001E-2</v>
      </c>
      <c r="F18" s="238">
        <v>0.28900670746144486</v>
      </c>
      <c r="G18" s="239">
        <v>1241.9046837675289</v>
      </c>
      <c r="H18" s="278"/>
      <c r="I18" s="279"/>
    </row>
    <row r="19" spans="1:9" ht="12.75" x14ac:dyDescent="0.35">
      <c r="A19" s="249" t="s">
        <v>128</v>
      </c>
      <c r="B19" s="40">
        <v>0.09</v>
      </c>
      <c r="C19" s="40">
        <v>0.74</v>
      </c>
      <c r="D19" s="40">
        <v>0.02</v>
      </c>
      <c r="E19" s="237">
        <v>0.02</v>
      </c>
      <c r="F19" s="238">
        <v>0.28900670746144486</v>
      </c>
      <c r="G19" s="239">
        <v>1246.0217300451254</v>
      </c>
      <c r="H19" s="276"/>
      <c r="I19" s="277"/>
    </row>
    <row r="20" spans="1:9" x14ac:dyDescent="0.35">
      <c r="A20" s="241" t="s">
        <v>196</v>
      </c>
      <c r="B20" s="243"/>
      <c r="C20" s="243"/>
      <c r="D20" s="243"/>
      <c r="E20" s="242"/>
      <c r="F20" s="243"/>
      <c r="G20" s="243"/>
      <c r="H20" s="243"/>
      <c r="I20" s="280"/>
    </row>
    <row r="21" spans="1:9" x14ac:dyDescent="0.35">
      <c r="A21" s="432" t="s">
        <v>197</v>
      </c>
      <c r="B21" s="433"/>
      <c r="C21" s="433"/>
      <c r="D21" s="433"/>
      <c r="E21" s="433"/>
      <c r="F21" s="433"/>
      <c r="G21" s="433"/>
      <c r="H21" s="433"/>
      <c r="I21" s="434"/>
    </row>
    <row r="22" spans="1:9" x14ac:dyDescent="0.35">
      <c r="A22" s="244" t="s">
        <v>198</v>
      </c>
      <c r="B22" s="243"/>
      <c r="C22" s="243"/>
      <c r="D22" s="243"/>
      <c r="E22" s="242"/>
      <c r="F22" s="243"/>
      <c r="G22" s="243"/>
      <c r="H22" s="243"/>
      <c r="I22" s="280"/>
    </row>
    <row r="23" spans="1:9" x14ac:dyDescent="0.35">
      <c r="A23" s="245" t="s">
        <v>199</v>
      </c>
      <c r="B23" s="262"/>
      <c r="C23" s="262"/>
      <c r="D23" s="262"/>
      <c r="E23" s="262"/>
      <c r="F23" s="262"/>
      <c r="G23" s="262"/>
      <c r="H23" s="262"/>
      <c r="I23" s="263"/>
    </row>
    <row r="24" spans="1:9" x14ac:dyDescent="0.35">
      <c r="A24" s="244" t="s">
        <v>200</v>
      </c>
      <c r="B24" s="243"/>
      <c r="C24" s="243"/>
      <c r="D24" s="243"/>
      <c r="E24" s="242"/>
      <c r="F24" s="243"/>
      <c r="G24" s="243"/>
      <c r="H24" s="243"/>
      <c r="I24" s="280"/>
    </row>
    <row r="25" spans="1:9" x14ac:dyDescent="0.35">
      <c r="A25" s="244" t="s">
        <v>201</v>
      </c>
      <c r="B25" s="243"/>
      <c r="C25" s="243"/>
      <c r="D25" s="243"/>
      <c r="E25" s="242"/>
      <c r="F25" s="243"/>
      <c r="G25" s="243"/>
      <c r="H25" s="243"/>
      <c r="I25" s="280"/>
    </row>
    <row r="26" spans="1:9" x14ac:dyDescent="0.35">
      <c r="A26" s="244" t="s">
        <v>202</v>
      </c>
      <c r="B26" s="243"/>
      <c r="C26" s="243"/>
      <c r="D26" s="243"/>
      <c r="E26" s="242"/>
      <c r="F26" s="243"/>
      <c r="G26" s="243"/>
      <c r="H26" s="243"/>
      <c r="I26" s="280"/>
    </row>
    <row r="27" spans="1:9" x14ac:dyDescent="0.35">
      <c r="A27" s="244" t="s">
        <v>203</v>
      </c>
      <c r="B27" s="243"/>
      <c r="C27" s="243"/>
      <c r="D27" s="243"/>
      <c r="E27" s="242"/>
      <c r="F27" s="243"/>
      <c r="G27" s="243"/>
      <c r="H27" s="243"/>
      <c r="I27" s="280"/>
    </row>
    <row r="28" spans="1:9" ht="12.75" thickBot="1" x14ac:dyDescent="0.4">
      <c r="A28" s="246" t="s">
        <v>204</v>
      </c>
      <c r="B28" s="248"/>
      <c r="C28" s="248"/>
      <c r="D28" s="248"/>
      <c r="E28" s="247"/>
      <c r="F28" s="248"/>
      <c r="G28" s="248"/>
      <c r="H28" s="248"/>
      <c r="I28" s="281"/>
    </row>
    <row r="29" spans="1:9" ht="12.75" thickBot="1" x14ac:dyDescent="0.4"/>
    <row r="30" spans="1:9" ht="17.649999999999999" x14ac:dyDescent="0.5">
      <c r="A30" s="235" t="s">
        <v>205</v>
      </c>
      <c r="B30" s="20"/>
      <c r="C30" s="20"/>
      <c r="D30" s="20"/>
      <c r="E30" s="20"/>
      <c r="F30" s="20"/>
      <c r="G30" s="20"/>
      <c r="H30" s="20"/>
      <c r="I30" s="273"/>
    </row>
    <row r="31" spans="1:9" x14ac:dyDescent="0.35">
      <c r="A31" s="22"/>
      <c r="B31" s="3"/>
      <c r="C31" s="3"/>
      <c r="D31" s="3"/>
      <c r="E31" s="3"/>
      <c r="F31" s="3"/>
      <c r="G31" s="3"/>
      <c r="H31" s="3"/>
      <c r="I31" s="274"/>
    </row>
    <row r="32" spans="1:9" ht="17.25" x14ac:dyDescent="0.4">
      <c r="A32" s="275" t="s">
        <v>206</v>
      </c>
      <c r="B32" s="3"/>
      <c r="C32" s="3"/>
      <c r="D32" s="3"/>
      <c r="E32" s="3"/>
      <c r="F32" s="3"/>
      <c r="G32" s="3"/>
      <c r="H32" s="3"/>
      <c r="I32" s="274"/>
    </row>
    <row r="33" spans="1:10" ht="26.25" x14ac:dyDescent="0.35">
      <c r="A33" s="264" t="s">
        <v>47</v>
      </c>
      <c r="B33" s="261" t="s">
        <v>185</v>
      </c>
      <c r="C33" s="261" t="s">
        <v>48</v>
      </c>
      <c r="D33" s="261" t="s">
        <v>186</v>
      </c>
      <c r="E33" s="261" t="s">
        <v>187</v>
      </c>
      <c r="F33" s="261" t="s">
        <v>188</v>
      </c>
      <c r="G33" s="261" t="s">
        <v>189</v>
      </c>
      <c r="H33" s="236"/>
      <c r="I33" s="236"/>
      <c r="J33" s="98"/>
    </row>
    <row r="34" spans="1:10" ht="12.75" x14ac:dyDescent="0.35">
      <c r="A34" s="249" t="s">
        <v>191</v>
      </c>
      <c r="B34" s="40">
        <v>1.0900000000000001</v>
      </c>
      <c r="C34" s="40">
        <v>21.37</v>
      </c>
      <c r="D34" s="40">
        <v>1.1499999999999999</v>
      </c>
      <c r="E34" s="237">
        <v>1.25</v>
      </c>
      <c r="F34" s="238">
        <v>0.28900592294648425</v>
      </c>
      <c r="G34" s="239">
        <v>2202.3971691634547</v>
      </c>
      <c r="H34" s="276"/>
      <c r="I34" s="277"/>
    </row>
    <row r="35" spans="1:10" ht="12.75" x14ac:dyDescent="0.35">
      <c r="A35" s="249" t="s">
        <v>192</v>
      </c>
      <c r="B35" s="40">
        <v>0.86</v>
      </c>
      <c r="C35" s="40">
        <v>21.07</v>
      </c>
      <c r="D35" s="40">
        <v>1.25</v>
      </c>
      <c r="E35" s="237">
        <v>1.35</v>
      </c>
      <c r="F35" s="238">
        <v>0.28900592294648425</v>
      </c>
      <c r="G35" s="239">
        <v>2571.8314574421456</v>
      </c>
      <c r="H35" s="276"/>
      <c r="I35" s="277"/>
    </row>
    <row r="36" spans="1:10" ht="12.75" x14ac:dyDescent="0.35">
      <c r="A36" s="249" t="s">
        <v>177</v>
      </c>
      <c r="B36" s="40">
        <v>0.56000000000000005</v>
      </c>
      <c r="C36" s="40">
        <v>18.239999999999998</v>
      </c>
      <c r="D36" s="40">
        <v>0.52</v>
      </c>
      <c r="E36" s="237">
        <v>0.56000000000000005</v>
      </c>
      <c r="F36" s="238">
        <v>0.28900592294648425</v>
      </c>
      <c r="G36" s="239">
        <v>2788.6017996250921</v>
      </c>
      <c r="H36" s="276"/>
      <c r="I36" s="277"/>
    </row>
    <row r="37" spans="1:10" ht="12.75" x14ac:dyDescent="0.35">
      <c r="A37" s="249" t="s">
        <v>178</v>
      </c>
      <c r="B37" s="40">
        <v>0.42</v>
      </c>
      <c r="C37" s="40">
        <v>17.920000000000002</v>
      </c>
      <c r="D37" s="40">
        <v>0.34</v>
      </c>
      <c r="E37" s="237">
        <v>0.37</v>
      </c>
      <c r="F37" s="238">
        <v>0.28900592294648425</v>
      </c>
      <c r="G37" s="239">
        <v>1909.8114787225463</v>
      </c>
      <c r="H37" s="276"/>
      <c r="I37" s="277"/>
    </row>
    <row r="38" spans="1:10" ht="12.75" x14ac:dyDescent="0.35">
      <c r="A38" s="249" t="s">
        <v>193</v>
      </c>
      <c r="B38" s="40">
        <v>0.43</v>
      </c>
      <c r="C38" s="40">
        <v>17.61</v>
      </c>
      <c r="D38" s="40">
        <v>0.37</v>
      </c>
      <c r="E38" s="237">
        <v>0.4</v>
      </c>
      <c r="F38" s="238">
        <v>0.28900592294648425</v>
      </c>
      <c r="G38" s="239">
        <v>2817.7341486108826</v>
      </c>
      <c r="H38" s="276"/>
      <c r="I38" s="277"/>
    </row>
    <row r="39" spans="1:10" ht="12.75" x14ac:dyDescent="0.35">
      <c r="A39" s="249" t="s">
        <v>194</v>
      </c>
      <c r="B39" s="40">
        <v>0.27</v>
      </c>
      <c r="C39" s="40">
        <v>11.64</v>
      </c>
      <c r="D39" s="40">
        <v>0.23</v>
      </c>
      <c r="E39" s="237">
        <v>0.25</v>
      </c>
      <c r="F39" s="238">
        <v>0.28900592294648425</v>
      </c>
      <c r="G39" s="239">
        <v>2065.3477736965187</v>
      </c>
      <c r="H39" s="276"/>
      <c r="I39" s="277"/>
    </row>
    <row r="40" spans="1:10" ht="12.75" x14ac:dyDescent="0.35">
      <c r="A40" s="249" t="s">
        <v>179</v>
      </c>
      <c r="B40" s="40">
        <v>0.23</v>
      </c>
      <c r="C40" s="40">
        <v>6.62</v>
      </c>
      <c r="D40" s="40">
        <v>0.03</v>
      </c>
      <c r="E40" s="237">
        <v>0.03</v>
      </c>
      <c r="F40" s="238">
        <v>0.28900592294648425</v>
      </c>
      <c r="G40" s="239">
        <v>1995.1654592792297</v>
      </c>
      <c r="H40" s="276"/>
      <c r="I40" s="277"/>
    </row>
    <row r="41" spans="1:10" ht="39.75" x14ac:dyDescent="0.35">
      <c r="A41" s="250" t="s">
        <v>195</v>
      </c>
      <c r="B41" s="251">
        <v>0.2</v>
      </c>
      <c r="C41" s="251">
        <v>2.88</v>
      </c>
      <c r="D41" s="251">
        <v>0.03</v>
      </c>
      <c r="E41" s="240">
        <v>2.8000000000000001E-2</v>
      </c>
      <c r="F41" s="238">
        <v>0.28900592294648425</v>
      </c>
      <c r="G41" s="239">
        <v>1995.1654592792297</v>
      </c>
      <c r="H41" s="278"/>
      <c r="I41" s="279"/>
    </row>
    <row r="42" spans="1:10" ht="12.75" x14ac:dyDescent="0.35">
      <c r="A42" s="249" t="s">
        <v>128</v>
      </c>
      <c r="B42" s="40">
        <v>0.19</v>
      </c>
      <c r="C42" s="40">
        <v>1.27</v>
      </c>
      <c r="D42" s="40">
        <v>0.03</v>
      </c>
      <c r="E42" s="237">
        <v>0.03</v>
      </c>
      <c r="F42" s="238">
        <v>0.28900592294648425</v>
      </c>
      <c r="G42" s="239">
        <v>2113.3373314511373</v>
      </c>
      <c r="H42" s="276"/>
      <c r="I42" s="277"/>
    </row>
    <row r="43" spans="1:10" x14ac:dyDescent="0.35">
      <c r="A43" s="244" t="s">
        <v>207</v>
      </c>
      <c r="B43" s="243"/>
      <c r="C43" s="243"/>
      <c r="D43" s="243"/>
      <c r="E43" s="243"/>
      <c r="F43" s="243"/>
      <c r="G43" s="243"/>
      <c r="H43" s="243"/>
      <c r="I43" s="280"/>
    </row>
    <row r="44" spans="1:10" x14ac:dyDescent="0.35">
      <c r="A44" s="432" t="s">
        <v>197</v>
      </c>
      <c r="B44" s="433"/>
      <c r="C44" s="433"/>
      <c r="D44" s="433"/>
      <c r="E44" s="433"/>
      <c r="F44" s="433"/>
      <c r="G44" s="433"/>
      <c r="H44" s="433"/>
      <c r="I44" s="434"/>
    </row>
    <row r="45" spans="1:10" x14ac:dyDescent="0.35">
      <c r="A45" s="244" t="s">
        <v>208</v>
      </c>
      <c r="B45" s="243"/>
      <c r="C45" s="243"/>
      <c r="D45" s="243"/>
      <c r="E45" s="242"/>
      <c r="F45" s="243"/>
      <c r="G45" s="243"/>
      <c r="H45" s="243"/>
      <c r="I45" s="280"/>
    </row>
    <row r="46" spans="1:10" x14ac:dyDescent="0.35">
      <c r="A46" s="244" t="s">
        <v>200</v>
      </c>
      <c r="B46" s="243"/>
      <c r="C46" s="243"/>
      <c r="D46" s="243"/>
      <c r="E46" s="242"/>
      <c r="F46" s="243"/>
      <c r="G46" s="243"/>
      <c r="H46" s="243"/>
      <c r="I46" s="280"/>
    </row>
    <row r="47" spans="1:10" x14ac:dyDescent="0.35">
      <c r="A47" s="244" t="s">
        <v>201</v>
      </c>
      <c r="B47" s="243"/>
      <c r="C47" s="243"/>
      <c r="D47" s="243"/>
      <c r="E47" s="242"/>
      <c r="F47" s="243"/>
      <c r="G47" s="243"/>
      <c r="H47" s="243"/>
      <c r="I47" s="280"/>
    </row>
    <row r="48" spans="1:10" x14ac:dyDescent="0.35">
      <c r="A48" s="244" t="s">
        <v>202</v>
      </c>
      <c r="B48" s="243"/>
      <c r="C48" s="243"/>
      <c r="D48" s="243"/>
      <c r="E48" s="242"/>
      <c r="F48" s="243"/>
      <c r="G48" s="243"/>
      <c r="H48" s="243"/>
      <c r="I48" s="280"/>
    </row>
    <row r="49" spans="1:10" x14ac:dyDescent="0.35">
      <c r="A49" s="244" t="s">
        <v>203</v>
      </c>
      <c r="B49" s="243"/>
      <c r="C49" s="243"/>
      <c r="D49" s="243"/>
      <c r="E49" s="242"/>
      <c r="F49" s="243"/>
      <c r="G49" s="243"/>
      <c r="H49" s="243"/>
      <c r="I49" s="280"/>
    </row>
    <row r="50" spans="1:10" ht="12.75" thickBot="1" x14ac:dyDescent="0.4">
      <c r="A50" s="246" t="s">
        <v>204</v>
      </c>
      <c r="B50" s="248"/>
      <c r="C50" s="248"/>
      <c r="D50" s="248"/>
      <c r="E50" s="247"/>
      <c r="F50" s="248"/>
      <c r="G50" s="248"/>
      <c r="H50" s="248"/>
      <c r="I50" s="281"/>
    </row>
    <row r="51" spans="1:10" ht="12.75" thickBot="1" x14ac:dyDescent="0.4">
      <c r="A51" s="252"/>
    </row>
    <row r="52" spans="1:10" ht="17.649999999999999" x14ac:dyDescent="0.5">
      <c r="A52" s="235" t="s">
        <v>209</v>
      </c>
      <c r="B52" s="20"/>
      <c r="C52" s="20"/>
      <c r="D52" s="20"/>
      <c r="E52" s="20"/>
      <c r="F52" s="20"/>
      <c r="G52" s="20"/>
      <c r="H52" s="20"/>
      <c r="I52" s="273"/>
    </row>
    <row r="53" spans="1:10" x14ac:dyDescent="0.35">
      <c r="A53" s="253"/>
      <c r="B53" s="3"/>
      <c r="C53" s="3"/>
      <c r="D53" s="3"/>
      <c r="E53" s="3"/>
      <c r="F53" s="3"/>
      <c r="G53" s="3"/>
      <c r="H53" s="3"/>
      <c r="I53" s="274"/>
    </row>
    <row r="54" spans="1:10" ht="17.25" x14ac:dyDescent="0.4">
      <c r="A54" s="275" t="s">
        <v>210</v>
      </c>
      <c r="B54" s="3"/>
      <c r="C54" s="3"/>
      <c r="D54" s="3"/>
      <c r="E54" s="3"/>
      <c r="F54" s="3"/>
      <c r="G54" s="3"/>
      <c r="H54" s="3"/>
      <c r="I54" s="274"/>
    </row>
    <row r="55" spans="1:10" ht="26.25" x14ac:dyDescent="0.35">
      <c r="A55" s="435" t="s">
        <v>211</v>
      </c>
      <c r="B55" s="389"/>
      <c r="C55" s="261" t="s">
        <v>212</v>
      </c>
      <c r="D55" s="261" t="s">
        <v>48</v>
      </c>
      <c r="E55" s="261" t="s">
        <v>186</v>
      </c>
      <c r="F55" s="261" t="s">
        <v>187</v>
      </c>
      <c r="G55" s="261" t="s">
        <v>188</v>
      </c>
      <c r="H55" s="261" t="s">
        <v>51</v>
      </c>
      <c r="I55" s="282"/>
    </row>
    <row r="56" spans="1:10" ht="12.75" x14ac:dyDescent="0.35">
      <c r="A56" s="249" t="s">
        <v>213</v>
      </c>
      <c r="B56" s="254" t="s">
        <v>214</v>
      </c>
      <c r="C56" s="255">
        <v>1.1499999999999999</v>
      </c>
      <c r="D56" s="255">
        <v>22.32</v>
      </c>
      <c r="E56" s="40">
        <v>1.59</v>
      </c>
      <c r="F56" s="237">
        <v>1.73</v>
      </c>
      <c r="G56" s="238">
        <v>0.99579666666666666</v>
      </c>
      <c r="H56" s="255">
        <v>2987.9843698008099</v>
      </c>
      <c r="I56" s="274"/>
    </row>
    <row r="57" spans="1:10" ht="12.75" x14ac:dyDescent="0.35">
      <c r="A57" s="249" t="s">
        <v>215</v>
      </c>
      <c r="B57" s="254" t="s">
        <v>216</v>
      </c>
      <c r="C57" s="255">
        <v>0.96</v>
      </c>
      <c r="D57" s="255">
        <v>18.600000000000001</v>
      </c>
      <c r="E57" s="40">
        <v>0.26</v>
      </c>
      <c r="F57" s="237">
        <v>0.28999999999999998</v>
      </c>
      <c r="G57" s="238">
        <v>0.99579666666666666</v>
      </c>
      <c r="H57" s="255">
        <v>2716.9858504786798</v>
      </c>
      <c r="I57" s="283"/>
    </row>
    <row r="58" spans="1:10" ht="12.75" x14ac:dyDescent="0.35">
      <c r="A58" s="249" t="s">
        <v>215</v>
      </c>
      <c r="B58" s="254" t="s">
        <v>217</v>
      </c>
      <c r="C58" s="255">
        <v>0.96</v>
      </c>
      <c r="D58" s="255">
        <v>18.600000000000001</v>
      </c>
      <c r="E58" s="40">
        <v>0.19</v>
      </c>
      <c r="F58" s="237">
        <v>0.2</v>
      </c>
      <c r="G58" s="238">
        <v>0.99579666666666666</v>
      </c>
      <c r="H58" s="255">
        <v>2524.9868939107801</v>
      </c>
      <c r="I58" s="274"/>
    </row>
    <row r="59" spans="1:10" ht="12.75" x14ac:dyDescent="0.35">
      <c r="A59" s="249" t="s">
        <v>218</v>
      </c>
      <c r="B59" s="40" t="s">
        <v>219</v>
      </c>
      <c r="C59" s="255">
        <v>0.77</v>
      </c>
      <c r="D59" s="255">
        <v>14.88</v>
      </c>
      <c r="E59" s="40">
        <v>0.13</v>
      </c>
      <c r="F59" s="237">
        <v>0.14000000000000001</v>
      </c>
      <c r="G59" s="238">
        <v>0.99579666666666666</v>
      </c>
      <c r="H59" s="255">
        <v>2416.9874066952057</v>
      </c>
      <c r="I59" s="274"/>
    </row>
    <row r="60" spans="1:10" ht="12.75" x14ac:dyDescent="0.35">
      <c r="A60" s="249" t="s">
        <v>220</v>
      </c>
      <c r="B60" s="254" t="s">
        <v>219</v>
      </c>
      <c r="C60" s="255">
        <v>0.46</v>
      </c>
      <c r="D60" s="255">
        <v>8.84</v>
      </c>
      <c r="E60" s="40">
        <v>0.13</v>
      </c>
      <c r="F60" s="237">
        <v>0.14000000000000001</v>
      </c>
      <c r="G60" s="238">
        <v>0.99579666666666666</v>
      </c>
      <c r="H60" s="255">
        <v>2003</v>
      </c>
      <c r="I60" s="274"/>
      <c r="J60" s="284"/>
    </row>
    <row r="61" spans="1:10" ht="12.75" x14ac:dyDescent="0.35">
      <c r="A61" s="249" t="s">
        <v>221</v>
      </c>
      <c r="B61" s="40" t="s">
        <v>222</v>
      </c>
      <c r="C61" s="255">
        <v>0.23</v>
      </c>
      <c r="D61" s="255">
        <v>4.46</v>
      </c>
      <c r="E61" s="40">
        <v>0.03</v>
      </c>
      <c r="F61" s="237">
        <v>0.03</v>
      </c>
      <c r="G61" s="238">
        <v>0.99579666666666666</v>
      </c>
      <c r="H61" s="255">
        <v>2416.9873988690333</v>
      </c>
      <c r="I61" s="274"/>
    </row>
    <row r="62" spans="1:10" ht="12.75" x14ac:dyDescent="0.35">
      <c r="A62" s="249" t="s">
        <v>223</v>
      </c>
      <c r="B62" s="40" t="s">
        <v>222</v>
      </c>
      <c r="C62" s="255">
        <v>0.04</v>
      </c>
      <c r="D62" s="255">
        <v>0.74</v>
      </c>
      <c r="E62" s="40">
        <v>0.03</v>
      </c>
      <c r="F62" s="237">
        <v>0.03</v>
      </c>
      <c r="G62" s="238">
        <v>0.99579666666666666</v>
      </c>
      <c r="H62" s="255">
        <v>2239.812900195127</v>
      </c>
      <c r="I62" s="274"/>
    </row>
    <row r="63" spans="1:10" x14ac:dyDescent="0.35">
      <c r="A63" s="256" t="s">
        <v>224</v>
      </c>
      <c r="B63" s="243"/>
      <c r="C63" s="243"/>
      <c r="D63" s="243"/>
      <c r="E63" s="243"/>
      <c r="F63" s="243"/>
      <c r="G63" s="243"/>
      <c r="H63" s="243"/>
      <c r="I63" s="280"/>
      <c r="J63" s="285"/>
    </row>
    <row r="64" spans="1:10" x14ac:dyDescent="0.35">
      <c r="A64" s="432" t="s">
        <v>225</v>
      </c>
      <c r="B64" s="433"/>
      <c r="C64" s="433"/>
      <c r="D64" s="433"/>
      <c r="E64" s="433"/>
      <c r="F64" s="433"/>
      <c r="G64" s="433"/>
      <c r="H64" s="433"/>
      <c r="I64" s="434"/>
      <c r="J64" s="285"/>
    </row>
    <row r="65" spans="1:10" x14ac:dyDescent="0.35">
      <c r="A65" s="245" t="s">
        <v>199</v>
      </c>
      <c r="B65" s="243"/>
      <c r="C65" s="243"/>
      <c r="D65" s="243"/>
      <c r="E65" s="242"/>
      <c r="F65" s="243"/>
      <c r="G65" s="243"/>
      <c r="H65" s="243"/>
      <c r="I65" s="280"/>
      <c r="J65" s="285"/>
    </row>
    <row r="66" spans="1:10" x14ac:dyDescent="0.35">
      <c r="A66" s="253" t="s">
        <v>226</v>
      </c>
      <c r="B66" s="262"/>
      <c r="C66" s="262"/>
      <c r="D66" s="262"/>
      <c r="E66" s="262"/>
      <c r="F66" s="262"/>
      <c r="G66" s="262"/>
      <c r="H66" s="262"/>
      <c r="I66" s="263"/>
    </row>
    <row r="67" spans="1:10" x14ac:dyDescent="0.35">
      <c r="A67" s="244" t="s">
        <v>227</v>
      </c>
      <c r="B67" s="262"/>
      <c r="C67" s="262"/>
      <c r="D67" s="262"/>
      <c r="E67" s="262"/>
      <c r="F67" s="262"/>
      <c r="G67" s="262"/>
      <c r="H67" s="262"/>
      <c r="I67" s="263"/>
    </row>
    <row r="68" spans="1:10" x14ac:dyDescent="0.35">
      <c r="A68" s="244" t="s">
        <v>228</v>
      </c>
      <c r="B68" s="262"/>
      <c r="C68" s="262"/>
      <c r="D68" s="262"/>
      <c r="E68" s="262"/>
      <c r="F68" s="262"/>
      <c r="G68" s="262"/>
      <c r="H68" s="262"/>
      <c r="I68" s="263"/>
    </row>
    <row r="69" spans="1:10" ht="12.75" thickBot="1" x14ac:dyDescent="0.4">
      <c r="A69" s="246" t="s">
        <v>204</v>
      </c>
      <c r="B69" s="257"/>
      <c r="C69" s="257"/>
      <c r="D69" s="257"/>
      <c r="E69" s="257"/>
      <c r="F69" s="257"/>
      <c r="G69" s="257"/>
      <c r="H69" s="257"/>
      <c r="I69" s="258"/>
    </row>
    <row r="70" spans="1:10" ht="12.75" thickBot="1" x14ac:dyDescent="0.4"/>
    <row r="71" spans="1:10" ht="17.649999999999999" x14ac:dyDescent="0.5">
      <c r="A71" s="235" t="s">
        <v>229</v>
      </c>
      <c r="B71" s="20"/>
      <c r="C71" s="20"/>
      <c r="D71" s="20"/>
      <c r="E71" s="20"/>
      <c r="F71" s="20"/>
      <c r="G71" s="20"/>
      <c r="H71" s="20"/>
      <c r="I71" s="273"/>
    </row>
    <row r="72" spans="1:10" x14ac:dyDescent="0.35">
      <c r="A72" s="22"/>
      <c r="B72" s="3"/>
      <c r="C72" s="3"/>
      <c r="D72" s="3"/>
      <c r="E72" s="3"/>
      <c r="F72" s="3"/>
      <c r="G72" s="3"/>
      <c r="H72" s="3"/>
      <c r="I72" s="274"/>
    </row>
    <row r="73" spans="1:10" ht="17.25" x14ac:dyDescent="0.4">
      <c r="A73" s="275" t="s">
        <v>230</v>
      </c>
      <c r="B73" s="3"/>
      <c r="C73" s="3"/>
      <c r="D73" s="3"/>
      <c r="E73" s="3"/>
      <c r="F73" s="3"/>
      <c r="G73" s="3"/>
      <c r="H73" s="3"/>
      <c r="I73" s="274"/>
    </row>
    <row r="74" spans="1:10" ht="26.25" x14ac:dyDescent="0.35">
      <c r="A74" s="435" t="s">
        <v>231</v>
      </c>
      <c r="B74" s="389"/>
      <c r="C74" s="261" t="s">
        <v>212</v>
      </c>
      <c r="D74" s="261" t="s">
        <v>48</v>
      </c>
      <c r="E74" s="261" t="s">
        <v>186</v>
      </c>
      <c r="F74" s="261" t="s">
        <v>187</v>
      </c>
      <c r="G74" s="261" t="s">
        <v>188</v>
      </c>
      <c r="H74" s="261" t="s">
        <v>51</v>
      </c>
      <c r="I74" s="282"/>
    </row>
    <row r="75" spans="1:10" ht="12.75" x14ac:dyDescent="0.35">
      <c r="A75" s="249" t="s">
        <v>215</v>
      </c>
      <c r="B75" s="254" t="s">
        <v>232</v>
      </c>
      <c r="C75" s="237">
        <v>6.33</v>
      </c>
      <c r="D75" s="237">
        <v>20</v>
      </c>
      <c r="E75" s="237">
        <v>0.37</v>
      </c>
      <c r="F75" s="237">
        <v>0.4</v>
      </c>
      <c r="G75" s="238">
        <v>0.99579666666666666</v>
      </c>
      <c r="H75" s="255">
        <v>2535.04101346074</v>
      </c>
      <c r="I75" s="274"/>
    </row>
    <row r="76" spans="1:10" ht="12.75" x14ac:dyDescent="0.35">
      <c r="A76" s="249" t="s">
        <v>215</v>
      </c>
      <c r="B76" s="254" t="s">
        <v>217</v>
      </c>
      <c r="C76" s="237">
        <v>6.33</v>
      </c>
      <c r="D76" s="237">
        <v>20</v>
      </c>
      <c r="E76" s="237">
        <v>0.26</v>
      </c>
      <c r="F76" s="237">
        <v>0.28000000000000003</v>
      </c>
      <c r="G76" s="238">
        <v>0.99579666666666666</v>
      </c>
      <c r="H76" s="255">
        <v>2535.04101346074</v>
      </c>
      <c r="I76" s="274"/>
    </row>
    <row r="77" spans="1:10" ht="12.75" x14ac:dyDescent="0.35">
      <c r="A77" s="249" t="s">
        <v>218</v>
      </c>
      <c r="B77" s="254" t="s">
        <v>219</v>
      </c>
      <c r="C77" s="237">
        <v>5.07</v>
      </c>
      <c r="D77" s="237">
        <v>16</v>
      </c>
      <c r="E77" s="237">
        <v>0.18</v>
      </c>
      <c r="F77" s="237">
        <v>0.2</v>
      </c>
      <c r="G77" s="238">
        <v>0.99579666666666666</v>
      </c>
      <c r="H77" s="255">
        <v>2535.04101346074</v>
      </c>
      <c r="I77" s="274"/>
    </row>
    <row r="78" spans="1:10" ht="12.75" x14ac:dyDescent="0.35">
      <c r="A78" s="249" t="s">
        <v>220</v>
      </c>
      <c r="B78" s="254" t="s">
        <v>219</v>
      </c>
      <c r="C78" s="237">
        <v>2.5299999999999998</v>
      </c>
      <c r="D78" s="237">
        <v>8</v>
      </c>
      <c r="E78" s="237">
        <v>0.18</v>
      </c>
      <c r="F78" s="237">
        <v>0.2</v>
      </c>
      <c r="G78" s="238">
        <v>0.99579666666666666</v>
      </c>
      <c r="H78" s="255">
        <v>2535.04101346074</v>
      </c>
      <c r="I78" s="274"/>
    </row>
    <row r="79" spans="1:10" ht="14.25" x14ac:dyDescent="0.35">
      <c r="A79" s="249" t="s">
        <v>233</v>
      </c>
      <c r="B79" s="254" t="s">
        <v>234</v>
      </c>
      <c r="C79" s="237">
        <v>1.82</v>
      </c>
      <c r="D79" s="237">
        <v>5.76</v>
      </c>
      <c r="E79" s="237">
        <v>7.0000000000000007E-2</v>
      </c>
      <c r="F79" s="237">
        <v>0.08</v>
      </c>
      <c r="G79" s="238">
        <v>0.99579666666666666</v>
      </c>
      <c r="H79" s="255">
        <v>2535.04101346074</v>
      </c>
      <c r="I79" s="274"/>
    </row>
    <row r="80" spans="1:10" ht="12.75" x14ac:dyDescent="0.35">
      <c r="A80" s="249" t="s">
        <v>235</v>
      </c>
      <c r="B80" s="254" t="s">
        <v>222</v>
      </c>
      <c r="C80" s="237">
        <v>1.52</v>
      </c>
      <c r="D80" s="237">
        <v>4.8</v>
      </c>
      <c r="E80" s="237">
        <v>0.04</v>
      </c>
      <c r="F80" s="237">
        <v>0.04</v>
      </c>
      <c r="G80" s="238">
        <v>0.99579666666666666</v>
      </c>
      <c r="H80" s="255">
        <v>2535.04101346074</v>
      </c>
      <c r="I80" s="274"/>
    </row>
    <row r="81" spans="1:9" ht="12.75" x14ac:dyDescent="0.35">
      <c r="A81" s="249" t="s">
        <v>236</v>
      </c>
      <c r="B81" s="254" t="s">
        <v>222</v>
      </c>
      <c r="C81" s="237">
        <v>0.25</v>
      </c>
      <c r="D81" s="237">
        <v>0.8</v>
      </c>
      <c r="E81" s="237">
        <v>0.04</v>
      </c>
      <c r="F81" s="237">
        <v>0.04</v>
      </c>
      <c r="G81" s="238">
        <v>0.99579666666666666</v>
      </c>
      <c r="H81" s="255">
        <v>2535.04101346074</v>
      </c>
      <c r="I81" s="274"/>
    </row>
    <row r="82" spans="1:9" x14ac:dyDescent="0.35">
      <c r="A82" s="256" t="s">
        <v>237</v>
      </c>
      <c r="B82" s="3"/>
      <c r="C82" s="3"/>
      <c r="D82" s="3"/>
      <c r="E82" s="3"/>
      <c r="F82" s="3"/>
      <c r="G82" s="3"/>
      <c r="H82" s="3"/>
      <c r="I82" s="274"/>
    </row>
    <row r="83" spans="1:9" x14ac:dyDescent="0.35">
      <c r="A83" s="432" t="s">
        <v>225</v>
      </c>
      <c r="B83" s="433"/>
      <c r="C83" s="433"/>
      <c r="D83" s="433"/>
      <c r="E83" s="433"/>
      <c r="F83" s="433"/>
      <c r="G83" s="433"/>
      <c r="H83" s="433"/>
      <c r="I83" s="434"/>
    </row>
    <row r="84" spans="1:9" x14ac:dyDescent="0.35">
      <c r="A84" s="253" t="s">
        <v>238</v>
      </c>
      <c r="B84" s="3"/>
      <c r="C84" s="3"/>
      <c r="D84" s="3"/>
      <c r="E84" s="259"/>
      <c r="F84" s="3"/>
      <c r="G84" s="3"/>
      <c r="H84" s="3"/>
      <c r="I84" s="274"/>
    </row>
    <row r="85" spans="1:9" x14ac:dyDescent="0.35">
      <c r="A85" s="432" t="s">
        <v>239</v>
      </c>
      <c r="B85" s="433"/>
      <c r="C85" s="433"/>
      <c r="D85" s="433"/>
      <c r="E85" s="433"/>
      <c r="F85" s="433"/>
      <c r="G85" s="433"/>
      <c r="H85" s="433"/>
      <c r="I85" s="434"/>
    </row>
    <row r="86" spans="1:9" x14ac:dyDescent="0.35">
      <c r="A86" s="253" t="s">
        <v>226</v>
      </c>
      <c r="B86" s="3"/>
      <c r="C86" s="3"/>
      <c r="D86" s="3"/>
      <c r="E86" s="259"/>
      <c r="F86" s="3"/>
      <c r="G86" s="3"/>
      <c r="H86" s="3"/>
      <c r="I86" s="274"/>
    </row>
    <row r="87" spans="1:9" x14ac:dyDescent="0.35">
      <c r="A87" s="253" t="s">
        <v>227</v>
      </c>
      <c r="B87" s="3"/>
      <c r="C87" s="3"/>
      <c r="D87" s="3"/>
      <c r="E87" s="259"/>
      <c r="F87" s="3"/>
      <c r="G87" s="3"/>
      <c r="H87" s="3"/>
      <c r="I87" s="274"/>
    </row>
    <row r="88" spans="1:9" x14ac:dyDescent="0.35">
      <c r="A88" s="253" t="s">
        <v>240</v>
      </c>
      <c r="B88" s="3"/>
      <c r="C88" s="3"/>
      <c r="D88" s="3"/>
      <c r="E88" s="259"/>
      <c r="F88" s="3"/>
      <c r="G88" s="3"/>
      <c r="H88" s="3"/>
      <c r="I88" s="274"/>
    </row>
    <row r="89" spans="1:9" ht="12.75" thickBot="1" x14ac:dyDescent="0.4">
      <c r="A89" s="260" t="s">
        <v>241</v>
      </c>
      <c r="B89" s="90"/>
      <c r="C89" s="90"/>
      <c r="D89" s="90"/>
      <c r="E89" s="90"/>
      <c r="F89" s="90"/>
      <c r="G89" s="90"/>
      <c r="H89" s="90"/>
      <c r="I89" s="286"/>
    </row>
    <row r="90" spans="1:9" ht="12.75" thickBot="1" x14ac:dyDescent="0.4"/>
    <row r="91" spans="1:9" ht="17.649999999999999" x14ac:dyDescent="0.5">
      <c r="A91" s="235"/>
      <c r="B91" s="20"/>
      <c r="C91" s="20"/>
      <c r="D91" s="20"/>
      <c r="E91" s="20"/>
      <c r="F91" s="20"/>
      <c r="G91" s="20"/>
      <c r="H91" s="20"/>
      <c r="I91" s="273"/>
    </row>
    <row r="92" spans="1:9" x14ac:dyDescent="0.35">
      <c r="A92" s="22"/>
      <c r="B92" s="3"/>
      <c r="C92" s="3"/>
      <c r="D92" s="3"/>
      <c r="E92" s="3"/>
      <c r="F92" s="3"/>
      <c r="G92" s="3"/>
      <c r="H92" s="3"/>
      <c r="I92" s="274"/>
    </row>
    <row r="93" spans="1:9" ht="17.25" x14ac:dyDescent="0.4">
      <c r="A93" s="275" t="s">
        <v>242</v>
      </c>
      <c r="B93" s="3"/>
      <c r="C93" s="3"/>
      <c r="D93" s="3"/>
      <c r="E93" s="3"/>
      <c r="F93" s="3"/>
      <c r="G93" s="3"/>
      <c r="H93" s="3"/>
      <c r="I93" s="274"/>
    </row>
    <row r="94" spans="1:9" ht="26.25" x14ac:dyDescent="0.35">
      <c r="A94" s="287" t="s">
        <v>47</v>
      </c>
      <c r="B94" s="261" t="s">
        <v>49</v>
      </c>
      <c r="C94" s="261" t="s">
        <v>48</v>
      </c>
      <c r="D94" s="261" t="s">
        <v>187</v>
      </c>
      <c r="E94" s="261" t="s">
        <v>188</v>
      </c>
      <c r="F94" s="261" t="s">
        <v>51</v>
      </c>
      <c r="G94" s="3"/>
      <c r="H94" s="3"/>
      <c r="I94" s="274"/>
    </row>
    <row r="95" spans="1:9" ht="12.75" x14ac:dyDescent="0.35">
      <c r="A95" s="288" t="s">
        <v>243</v>
      </c>
      <c r="B95" s="237">
        <v>3.61</v>
      </c>
      <c r="C95" s="237">
        <v>11.4</v>
      </c>
      <c r="D95" s="238">
        <v>1.1399999999999999</v>
      </c>
      <c r="E95" s="238">
        <v>0.24440615597950491</v>
      </c>
      <c r="F95" s="239">
        <v>2202.3971691634547</v>
      </c>
      <c r="G95" s="3"/>
      <c r="H95" s="3"/>
      <c r="I95" s="274"/>
    </row>
    <row r="96" spans="1:9" ht="12.75" x14ac:dyDescent="0.35">
      <c r="A96" s="288" t="s">
        <v>244</v>
      </c>
      <c r="B96" s="237">
        <v>3.42</v>
      </c>
      <c r="C96" s="237">
        <v>10.8</v>
      </c>
      <c r="D96" s="238">
        <v>0.45</v>
      </c>
      <c r="E96" s="238">
        <v>0.24440615597950491</v>
      </c>
      <c r="F96" s="239">
        <v>2571.8314574421456</v>
      </c>
      <c r="G96" s="3"/>
      <c r="H96" s="3"/>
      <c r="I96" s="274"/>
    </row>
    <row r="97" spans="1:9" ht="12.75" x14ac:dyDescent="0.35">
      <c r="A97" s="288" t="s">
        <v>245</v>
      </c>
      <c r="B97" s="237">
        <v>2.85</v>
      </c>
      <c r="C97" s="237">
        <v>9</v>
      </c>
      <c r="D97" s="238">
        <v>0.18</v>
      </c>
      <c r="E97" s="238">
        <v>0.24440615597950491</v>
      </c>
      <c r="F97" s="239">
        <v>2788.6017996250921</v>
      </c>
      <c r="G97" s="3"/>
      <c r="H97" s="3"/>
      <c r="I97" s="274"/>
    </row>
    <row r="98" spans="1:9" ht="12.75" x14ac:dyDescent="0.35">
      <c r="A98" s="288" t="s">
        <v>246</v>
      </c>
      <c r="B98" s="237">
        <v>2.85</v>
      </c>
      <c r="C98" s="237">
        <v>9</v>
      </c>
      <c r="D98" s="238">
        <v>0.18</v>
      </c>
      <c r="E98" s="238">
        <v>0.24440615597950491</v>
      </c>
      <c r="F98" s="239">
        <v>1909.8114787225463</v>
      </c>
      <c r="G98" s="3"/>
      <c r="H98" s="3"/>
      <c r="I98" s="274"/>
    </row>
    <row r="99" spans="1:9" ht="12.75" x14ac:dyDescent="0.35">
      <c r="A99" s="288" t="s">
        <v>247</v>
      </c>
      <c r="B99" s="237">
        <v>2.2799999999999998</v>
      </c>
      <c r="C99" s="237">
        <v>7.2</v>
      </c>
      <c r="D99" s="238">
        <v>0.18</v>
      </c>
      <c r="E99" s="238">
        <v>0.24440615597950491</v>
      </c>
      <c r="F99" s="239">
        <v>2817.7341486108826</v>
      </c>
      <c r="G99" s="3"/>
      <c r="H99" s="3"/>
      <c r="I99" s="274"/>
    </row>
    <row r="100" spans="1:9" ht="12.75" x14ac:dyDescent="0.35">
      <c r="A100" s="288" t="s">
        <v>248</v>
      </c>
      <c r="B100" s="237">
        <v>1.1399999999999999</v>
      </c>
      <c r="C100" s="237">
        <v>3.6</v>
      </c>
      <c r="D100" s="238">
        <v>0.02</v>
      </c>
      <c r="E100" s="238">
        <v>0.24440615597950491</v>
      </c>
      <c r="F100" s="239">
        <v>2065.3477736965187</v>
      </c>
      <c r="G100" s="3"/>
      <c r="H100" s="3"/>
      <c r="I100" s="274"/>
    </row>
    <row r="101" spans="1:9" ht="12.75" x14ac:dyDescent="0.35">
      <c r="A101" s="288" t="s">
        <v>249</v>
      </c>
      <c r="B101" s="237">
        <v>0.82</v>
      </c>
      <c r="C101" s="237">
        <v>2.59</v>
      </c>
      <c r="D101" s="238">
        <v>0.02</v>
      </c>
      <c r="E101" s="238">
        <v>0.24440615597950491</v>
      </c>
      <c r="F101" s="239">
        <v>1995.1654592792297</v>
      </c>
      <c r="G101" s="3"/>
      <c r="H101" s="3"/>
      <c r="I101" s="274"/>
    </row>
    <row r="102" spans="1:9" ht="12.75" x14ac:dyDescent="0.35">
      <c r="A102" s="288" t="s">
        <v>250</v>
      </c>
      <c r="B102" s="237">
        <v>0.68</v>
      </c>
      <c r="C102" s="237">
        <v>2.16</v>
      </c>
      <c r="D102" s="238">
        <v>0.02</v>
      </c>
      <c r="E102" s="238">
        <v>0.24440615597950491</v>
      </c>
      <c r="F102" s="239">
        <v>1995.1654592792297</v>
      </c>
      <c r="G102" s="3"/>
      <c r="H102" s="3"/>
      <c r="I102" s="274"/>
    </row>
    <row r="103" spans="1:9" ht="12.75" x14ac:dyDescent="0.35">
      <c r="A103" s="288" t="s">
        <v>251</v>
      </c>
      <c r="B103" s="237">
        <v>0.55000000000000004</v>
      </c>
      <c r="C103" s="237">
        <v>1.73</v>
      </c>
      <c r="D103" s="238">
        <v>0.02</v>
      </c>
      <c r="E103" s="238">
        <v>0.24440615597950491</v>
      </c>
      <c r="F103" s="239">
        <v>1995.1654592792297</v>
      </c>
      <c r="G103" s="3"/>
      <c r="H103" s="3"/>
      <c r="I103" s="274"/>
    </row>
    <row r="104" spans="1:9" ht="12.75" x14ac:dyDescent="0.35">
      <c r="A104" s="288" t="s">
        <v>252</v>
      </c>
      <c r="B104" s="237">
        <v>0.38</v>
      </c>
      <c r="C104" s="237">
        <v>1.21</v>
      </c>
      <c r="D104" s="238">
        <v>0.02</v>
      </c>
      <c r="E104" s="238">
        <v>0.24440615597950491</v>
      </c>
      <c r="F104" s="239">
        <v>1995.1654592792297</v>
      </c>
      <c r="G104" s="3"/>
      <c r="H104" s="3"/>
      <c r="I104" s="274"/>
    </row>
    <row r="105" spans="1:9" ht="12.75" x14ac:dyDescent="0.35">
      <c r="A105" s="288" t="s">
        <v>253</v>
      </c>
      <c r="B105" s="237">
        <v>0.28999999999999998</v>
      </c>
      <c r="C105" s="237">
        <v>0.9</v>
      </c>
      <c r="D105" s="238">
        <v>0.02</v>
      </c>
      <c r="E105" s="238">
        <v>0.24440615597950491</v>
      </c>
      <c r="F105" s="239">
        <v>1995.1654592792297</v>
      </c>
      <c r="G105" s="3"/>
      <c r="H105" s="3"/>
      <c r="I105" s="274"/>
    </row>
    <row r="106" spans="1:9" ht="12.75" x14ac:dyDescent="0.35">
      <c r="A106" s="288" t="s">
        <v>254</v>
      </c>
      <c r="B106" s="237">
        <v>0.11</v>
      </c>
      <c r="C106" s="237">
        <v>0.36</v>
      </c>
      <c r="D106" s="238">
        <v>0.02</v>
      </c>
      <c r="E106" s="238">
        <v>0.24440615597950491</v>
      </c>
      <c r="F106" s="239">
        <v>2113.3373314511373</v>
      </c>
      <c r="G106" s="3"/>
      <c r="H106" s="3"/>
      <c r="I106" s="274"/>
    </row>
    <row r="107" spans="1:9" x14ac:dyDescent="0.35">
      <c r="A107" s="256" t="s">
        <v>255</v>
      </c>
      <c r="B107" s="3"/>
      <c r="C107" s="3"/>
      <c r="D107" s="3"/>
      <c r="E107" s="3"/>
      <c r="F107" s="3"/>
      <c r="G107" s="3"/>
      <c r="H107" s="3"/>
      <c r="I107" s="274"/>
    </row>
    <row r="108" spans="1:9" x14ac:dyDescent="0.35">
      <c r="A108" s="432" t="s">
        <v>197</v>
      </c>
      <c r="B108" s="433"/>
      <c r="C108" s="433"/>
      <c r="D108" s="433"/>
      <c r="E108" s="433"/>
      <c r="F108" s="433"/>
      <c r="G108" s="433"/>
      <c r="H108" s="433"/>
      <c r="I108" s="434"/>
    </row>
    <row r="109" spans="1:9" x14ac:dyDescent="0.35">
      <c r="A109" s="432" t="s">
        <v>256</v>
      </c>
      <c r="B109" s="433"/>
      <c r="C109" s="433"/>
      <c r="D109" s="433"/>
      <c r="E109" s="433"/>
      <c r="F109" s="433"/>
      <c r="G109" s="433"/>
      <c r="H109" s="433"/>
      <c r="I109" s="434"/>
    </row>
    <row r="110" spans="1:9" ht="12.75" thickBot="1" x14ac:dyDescent="0.4">
      <c r="A110" s="260" t="s">
        <v>257</v>
      </c>
      <c r="B110" s="90"/>
      <c r="C110" s="90"/>
      <c r="D110" s="90"/>
      <c r="E110" s="289"/>
      <c r="F110" s="90"/>
      <c r="G110" s="90"/>
      <c r="H110" s="90"/>
      <c r="I110" s="286"/>
    </row>
    <row r="111" spans="1:9" ht="12.75" thickBot="1" x14ac:dyDescent="0.4"/>
    <row r="112" spans="1:9" ht="17.25" x14ac:dyDescent="0.4">
      <c r="A112" s="290" t="s">
        <v>258</v>
      </c>
      <c r="B112" s="20"/>
      <c r="C112" s="20"/>
      <c r="D112" s="20"/>
      <c r="E112" s="20"/>
      <c r="F112" s="20"/>
      <c r="G112" s="20"/>
      <c r="H112" s="20"/>
      <c r="I112" s="273"/>
    </row>
    <row r="113" spans="1:9" ht="26.25" x14ac:dyDescent="0.35">
      <c r="A113" s="287" t="s">
        <v>47</v>
      </c>
      <c r="B113" s="261" t="s">
        <v>49</v>
      </c>
      <c r="C113" s="261" t="s">
        <v>48</v>
      </c>
      <c r="D113" s="261" t="s">
        <v>187</v>
      </c>
      <c r="E113" s="261" t="s">
        <v>188</v>
      </c>
      <c r="F113" s="261" t="s">
        <v>51</v>
      </c>
      <c r="G113" s="3"/>
      <c r="H113" s="3"/>
      <c r="I113" s="274"/>
    </row>
    <row r="114" spans="1:9" ht="12.75" x14ac:dyDescent="0.35">
      <c r="A114" s="288" t="s">
        <v>243</v>
      </c>
      <c r="B114" s="237">
        <v>5.89</v>
      </c>
      <c r="C114" s="237">
        <v>18.600000000000001</v>
      </c>
      <c r="D114" s="238">
        <v>1.86</v>
      </c>
      <c r="E114" s="238">
        <v>0.28900592294648425</v>
      </c>
      <c r="F114" s="239">
        <v>2202.3971691634547</v>
      </c>
      <c r="G114" s="3"/>
      <c r="H114" s="3"/>
      <c r="I114" s="274"/>
    </row>
    <row r="115" spans="1:9" ht="12.75" x14ac:dyDescent="0.35">
      <c r="A115" s="288" t="s">
        <v>244</v>
      </c>
      <c r="B115" s="237">
        <v>5.7</v>
      </c>
      <c r="C115" s="237">
        <v>18</v>
      </c>
      <c r="D115" s="238">
        <v>0.75</v>
      </c>
      <c r="E115" s="238">
        <v>0.28900592294648425</v>
      </c>
      <c r="F115" s="239">
        <v>2571.8314574421456</v>
      </c>
      <c r="G115" s="3"/>
      <c r="H115" s="3"/>
      <c r="I115" s="274"/>
    </row>
    <row r="116" spans="1:9" ht="12.75" x14ac:dyDescent="0.35">
      <c r="A116" s="288" t="s">
        <v>245</v>
      </c>
      <c r="B116" s="237">
        <v>4.75</v>
      </c>
      <c r="C116" s="237">
        <v>15</v>
      </c>
      <c r="D116" s="238">
        <v>0.3</v>
      </c>
      <c r="E116" s="238">
        <v>0.28900592294648425</v>
      </c>
      <c r="F116" s="239">
        <v>2788.6017996250921</v>
      </c>
      <c r="G116" s="3"/>
      <c r="H116" s="3"/>
      <c r="I116" s="274"/>
    </row>
    <row r="117" spans="1:9" ht="12.75" x14ac:dyDescent="0.35">
      <c r="A117" s="288" t="s">
        <v>246</v>
      </c>
      <c r="B117" s="237">
        <v>4.59</v>
      </c>
      <c r="C117" s="237">
        <v>14.5</v>
      </c>
      <c r="D117" s="238">
        <v>0.28999999999999998</v>
      </c>
      <c r="E117" s="238">
        <v>0.28900592294648425</v>
      </c>
      <c r="F117" s="239">
        <v>1909.8114787225463</v>
      </c>
      <c r="G117" s="3"/>
      <c r="H117" s="3"/>
      <c r="I117" s="274"/>
    </row>
    <row r="118" spans="1:9" ht="12.75" x14ac:dyDescent="0.35">
      <c r="A118" s="288" t="s">
        <v>247</v>
      </c>
      <c r="B118" s="237">
        <v>3.67</v>
      </c>
      <c r="C118" s="237">
        <v>11.6</v>
      </c>
      <c r="D118" s="238">
        <v>0.28999999999999998</v>
      </c>
      <c r="E118" s="238">
        <v>0.28900592294648425</v>
      </c>
      <c r="F118" s="239">
        <v>2817.7341486108826</v>
      </c>
      <c r="G118" s="3"/>
      <c r="H118" s="3"/>
      <c r="I118" s="274"/>
    </row>
    <row r="119" spans="1:9" ht="12.75" x14ac:dyDescent="0.35">
      <c r="A119" s="288" t="s">
        <v>248</v>
      </c>
      <c r="B119" s="237">
        <v>1.84</v>
      </c>
      <c r="C119" s="237">
        <v>5.8</v>
      </c>
      <c r="D119" s="238">
        <v>0.03</v>
      </c>
      <c r="E119" s="238">
        <v>0.28900592294648425</v>
      </c>
      <c r="F119" s="239">
        <v>2065.3477736965187</v>
      </c>
      <c r="G119" s="3"/>
      <c r="H119" s="3"/>
      <c r="I119" s="274"/>
    </row>
    <row r="120" spans="1:9" ht="12.75" x14ac:dyDescent="0.35">
      <c r="A120" s="288" t="s">
        <v>249</v>
      </c>
      <c r="B120" s="237">
        <v>1.32</v>
      </c>
      <c r="C120" s="237">
        <v>4.18</v>
      </c>
      <c r="D120" s="238">
        <v>0.03</v>
      </c>
      <c r="E120" s="238">
        <v>0.28900592294648425</v>
      </c>
      <c r="F120" s="239">
        <v>1995.1654592792297</v>
      </c>
      <c r="G120" s="3"/>
      <c r="H120" s="3"/>
      <c r="I120" s="274"/>
    </row>
    <row r="121" spans="1:9" ht="12.75" x14ac:dyDescent="0.35">
      <c r="A121" s="288" t="s">
        <v>250</v>
      </c>
      <c r="B121" s="237">
        <v>1.1000000000000001</v>
      </c>
      <c r="C121" s="237">
        <v>3.48</v>
      </c>
      <c r="D121" s="238">
        <v>0.03</v>
      </c>
      <c r="E121" s="238">
        <v>0.28900592294648425</v>
      </c>
      <c r="F121" s="239">
        <v>1995.1654592792297</v>
      </c>
      <c r="G121" s="3"/>
      <c r="H121" s="3"/>
      <c r="I121" s="274"/>
    </row>
    <row r="122" spans="1:9" ht="12.75" x14ac:dyDescent="0.35">
      <c r="A122" s="288" t="s">
        <v>251</v>
      </c>
      <c r="B122" s="237">
        <v>0.88</v>
      </c>
      <c r="C122" s="237">
        <v>2.78</v>
      </c>
      <c r="D122" s="238">
        <v>0.03</v>
      </c>
      <c r="E122" s="238">
        <v>0.28900592294648425</v>
      </c>
      <c r="F122" s="239">
        <v>1995.1654592792297</v>
      </c>
      <c r="G122" s="3"/>
      <c r="H122" s="3"/>
      <c r="I122" s="274"/>
    </row>
    <row r="123" spans="1:9" ht="12.75" x14ac:dyDescent="0.35">
      <c r="A123" s="288" t="s">
        <v>252</v>
      </c>
      <c r="B123" s="237">
        <v>0.62</v>
      </c>
      <c r="C123" s="237">
        <v>1.95</v>
      </c>
      <c r="D123" s="238">
        <v>0.03</v>
      </c>
      <c r="E123" s="238">
        <v>0.28900592294648425</v>
      </c>
      <c r="F123" s="239">
        <v>1995.1654592792297</v>
      </c>
      <c r="G123" s="3"/>
      <c r="H123" s="3"/>
      <c r="I123" s="274"/>
    </row>
    <row r="124" spans="1:9" ht="12.75" x14ac:dyDescent="0.35">
      <c r="A124" s="288" t="s">
        <v>253</v>
      </c>
      <c r="B124" s="237">
        <v>0.46</v>
      </c>
      <c r="C124" s="237">
        <v>1.45</v>
      </c>
      <c r="D124" s="238">
        <v>0.03</v>
      </c>
      <c r="E124" s="238">
        <v>0.28900592294648425</v>
      </c>
      <c r="F124" s="239">
        <v>1995.1654592792297</v>
      </c>
      <c r="G124" s="3"/>
      <c r="H124" s="3"/>
      <c r="I124" s="274"/>
    </row>
    <row r="125" spans="1:9" ht="12.75" x14ac:dyDescent="0.35">
      <c r="A125" s="288" t="s">
        <v>254</v>
      </c>
      <c r="B125" s="237">
        <v>0.18</v>
      </c>
      <c r="C125" s="237">
        <v>0.57999999999999996</v>
      </c>
      <c r="D125" s="238">
        <v>0.03</v>
      </c>
      <c r="E125" s="238">
        <v>0.28900592294648425</v>
      </c>
      <c r="F125" s="239">
        <v>2113.3373314511373</v>
      </c>
      <c r="G125" s="3"/>
      <c r="H125" s="3"/>
      <c r="I125" s="274"/>
    </row>
    <row r="126" spans="1:9" x14ac:dyDescent="0.35">
      <c r="A126" s="256" t="s">
        <v>255</v>
      </c>
      <c r="B126" s="243"/>
      <c r="C126" s="243"/>
      <c r="D126" s="243"/>
      <c r="E126" s="243"/>
      <c r="F126" s="243"/>
      <c r="G126" s="243"/>
      <c r="H126" s="243"/>
      <c r="I126" s="280"/>
    </row>
    <row r="127" spans="1:9" x14ac:dyDescent="0.35">
      <c r="A127" s="432" t="s">
        <v>197</v>
      </c>
      <c r="B127" s="433"/>
      <c r="C127" s="433"/>
      <c r="D127" s="433"/>
      <c r="E127" s="433"/>
      <c r="F127" s="433"/>
      <c r="G127" s="433"/>
      <c r="H127" s="433"/>
      <c r="I127" s="434"/>
    </row>
    <row r="128" spans="1:9" x14ac:dyDescent="0.35">
      <c r="A128" s="432" t="s">
        <v>259</v>
      </c>
      <c r="B128" s="433"/>
      <c r="C128" s="433"/>
      <c r="D128" s="433"/>
      <c r="E128" s="433"/>
      <c r="F128" s="433"/>
      <c r="G128" s="433"/>
      <c r="H128" s="433"/>
      <c r="I128" s="434"/>
    </row>
    <row r="129" spans="1:10" ht="13.15" thickBot="1" x14ac:dyDescent="0.4">
      <c r="A129" s="260" t="s">
        <v>257</v>
      </c>
      <c r="B129" s="248"/>
      <c r="C129" s="248"/>
      <c r="D129" s="248"/>
      <c r="E129" s="247"/>
      <c r="F129" s="248"/>
      <c r="G129" s="248"/>
      <c r="H129" s="248"/>
      <c r="I129" s="281"/>
      <c r="J129" s="291" t="s">
        <v>190</v>
      </c>
    </row>
    <row r="131" spans="1:10" x14ac:dyDescent="0.35">
      <c r="A131" s="292"/>
      <c r="B131" s="3"/>
      <c r="C131" s="3"/>
      <c r="D131" s="3"/>
      <c r="E131" s="3"/>
      <c r="F131" s="3"/>
    </row>
    <row r="132" spans="1:10" ht="12.75" thickBot="1" x14ac:dyDescent="0.4">
      <c r="A132" s="292"/>
      <c r="B132" s="3"/>
      <c r="C132" s="3"/>
      <c r="D132" s="3"/>
      <c r="E132" s="3"/>
      <c r="F132" s="3"/>
    </row>
    <row r="133" spans="1:10" ht="14.25" x14ac:dyDescent="0.45">
      <c r="A133" s="436" t="s">
        <v>260</v>
      </c>
      <c r="B133" s="437"/>
      <c r="C133" s="437"/>
      <c r="D133" s="437"/>
      <c r="E133" s="437"/>
      <c r="F133" s="438"/>
    </row>
    <row r="134" spans="1:10" ht="42.75" x14ac:dyDescent="0.35">
      <c r="A134" s="293" t="s">
        <v>261</v>
      </c>
      <c r="B134" s="294" t="s">
        <v>49</v>
      </c>
      <c r="C134" s="294" t="s">
        <v>262</v>
      </c>
      <c r="D134" s="294" t="s">
        <v>263</v>
      </c>
      <c r="E134" s="294" t="s">
        <v>264</v>
      </c>
      <c r="F134" s="295" t="s">
        <v>51</v>
      </c>
    </row>
    <row r="135" spans="1:10" ht="14.25" x14ac:dyDescent="0.45">
      <c r="A135" s="296">
        <v>2000</v>
      </c>
      <c r="B135" s="297">
        <v>0.66919605238781976</v>
      </c>
      <c r="C135" s="297">
        <v>0.96213059029586523</v>
      </c>
      <c r="D135" s="297">
        <v>4.1887686790378379E-3</v>
      </c>
      <c r="E135" s="297">
        <v>0.20360545046390413</v>
      </c>
      <c r="F135" s="298">
        <v>619.04111282989186</v>
      </c>
    </row>
    <row r="136" spans="1:10" ht="14.25" x14ac:dyDescent="0.45">
      <c r="A136" s="296">
        <v>2001</v>
      </c>
      <c r="B136" s="297">
        <v>0.56297233140244896</v>
      </c>
      <c r="C136" s="297">
        <v>0.77592053305189201</v>
      </c>
      <c r="D136" s="297">
        <v>4.1386852952239707E-3</v>
      </c>
      <c r="E136" s="297">
        <v>0.2035553670800902</v>
      </c>
      <c r="F136" s="298">
        <v>619.33816332481445</v>
      </c>
    </row>
    <row r="137" spans="1:10" ht="14.25" x14ac:dyDescent="0.45">
      <c r="A137" s="296">
        <v>2002</v>
      </c>
      <c r="B137" s="297">
        <v>0.52378825234880333</v>
      </c>
      <c r="C137" s="297">
        <v>0.76827229547031217</v>
      </c>
      <c r="D137" s="297">
        <v>4.1178868008828499E-3</v>
      </c>
      <c r="E137" s="297">
        <v>0.20353456858574911</v>
      </c>
      <c r="F137" s="298">
        <v>619.10584495978708</v>
      </c>
    </row>
    <row r="138" spans="1:10" ht="14.25" x14ac:dyDescent="0.45">
      <c r="A138" s="296">
        <v>2003</v>
      </c>
      <c r="B138" s="297">
        <v>0.46756694545480793</v>
      </c>
      <c r="C138" s="297">
        <v>0.75914459756729624</v>
      </c>
      <c r="D138" s="297">
        <v>4.0891242212977262E-3</v>
      </c>
      <c r="E138" s="297">
        <v>0.20350580600616405</v>
      </c>
      <c r="F138" s="298">
        <v>618.48079988746281</v>
      </c>
    </row>
    <row r="139" spans="1:10" ht="14.25" x14ac:dyDescent="0.45">
      <c r="A139" s="296">
        <v>2004</v>
      </c>
      <c r="B139" s="297">
        <v>0.25412682867682629</v>
      </c>
      <c r="C139" s="297">
        <v>0.15435494138576714</v>
      </c>
      <c r="D139" s="297">
        <v>2.4054899773012195E-4</v>
      </c>
      <c r="E139" s="297">
        <v>0.19965723078259637</v>
      </c>
      <c r="F139" s="298">
        <v>618.97802590191088</v>
      </c>
    </row>
    <row r="140" spans="1:10" ht="14.25" x14ac:dyDescent="0.45">
      <c r="A140" s="296">
        <v>2005</v>
      </c>
      <c r="B140" s="297">
        <v>0.20835683583723252</v>
      </c>
      <c r="C140" s="297">
        <v>0.13356214175652939</v>
      </c>
      <c r="D140" s="297">
        <v>2.3973967814382499E-4</v>
      </c>
      <c r="E140" s="297">
        <v>0.19965642146301033</v>
      </c>
      <c r="F140" s="298">
        <v>618.35076693536803</v>
      </c>
    </row>
    <row r="141" spans="1:10" ht="14.25" x14ac:dyDescent="0.45">
      <c r="A141" s="296">
        <v>2006</v>
      </c>
      <c r="B141" s="297">
        <v>0.17306055190251368</v>
      </c>
      <c r="C141" s="297">
        <v>9.2707857598929133E-2</v>
      </c>
      <c r="D141" s="297">
        <v>2.3969832125965245E-4</v>
      </c>
      <c r="E141" s="297">
        <v>0.19965638010612624</v>
      </c>
      <c r="F141" s="298">
        <v>618.25538148705982</v>
      </c>
    </row>
    <row r="142" spans="1:10" ht="14.25" x14ac:dyDescent="0.45">
      <c r="A142" s="296">
        <v>2007</v>
      </c>
      <c r="B142" s="297">
        <v>0.14757305539044069</v>
      </c>
      <c r="C142" s="297">
        <v>8.5181518999139477E-2</v>
      </c>
      <c r="D142" s="297">
        <v>2.3821170203129646E-4</v>
      </c>
      <c r="E142" s="297">
        <v>0.19965489348689766</v>
      </c>
      <c r="F142" s="298">
        <v>617.18731183772854</v>
      </c>
    </row>
    <row r="143" spans="1:10" ht="14.25" x14ac:dyDescent="0.45">
      <c r="A143" s="296">
        <v>2008</v>
      </c>
      <c r="B143" s="297">
        <v>0.12581480187665639</v>
      </c>
      <c r="C143" s="297">
        <v>8.3368317850032472E-2</v>
      </c>
      <c r="D143" s="297">
        <v>2.7445864497544582E-4</v>
      </c>
      <c r="E143" s="297">
        <v>0.19969114042984176</v>
      </c>
      <c r="F143" s="298">
        <v>616.32725890688221</v>
      </c>
    </row>
    <row r="144" spans="1:10" ht="14.25" x14ac:dyDescent="0.45">
      <c r="A144" s="296">
        <v>2009</v>
      </c>
      <c r="B144" s="297">
        <v>0.10507694093277133</v>
      </c>
      <c r="C144" s="297">
        <v>8.1547772125730292E-2</v>
      </c>
      <c r="D144" s="297">
        <v>3.1132782670672621E-4</v>
      </c>
      <c r="E144" s="297">
        <v>0.19972800961157305</v>
      </c>
      <c r="F144" s="298">
        <v>616.77391914263558</v>
      </c>
    </row>
    <row r="145" spans="1:10" ht="14.25" x14ac:dyDescent="0.45">
      <c r="A145" s="296">
        <v>2010</v>
      </c>
      <c r="B145" s="297">
        <v>8.2826649937709565E-2</v>
      </c>
      <c r="C145" s="297">
        <v>7.9058975377676519E-2</v>
      </c>
      <c r="D145" s="297">
        <v>3.8109399873309567E-4</v>
      </c>
      <c r="E145" s="297">
        <v>0.19979777578359936</v>
      </c>
      <c r="F145" s="298">
        <v>614.54992663053361</v>
      </c>
    </row>
    <row r="146" spans="1:10" ht="14.25" x14ac:dyDescent="0.45">
      <c r="A146" s="296">
        <v>2011</v>
      </c>
      <c r="B146" s="297">
        <v>6.0186464193755965E-2</v>
      </c>
      <c r="C146" s="297">
        <v>7.5922573576063856E-2</v>
      </c>
      <c r="D146" s="297">
        <v>5.2415535757966585E-4</v>
      </c>
      <c r="E146" s="297">
        <v>0.19994083714244587</v>
      </c>
      <c r="F146" s="298">
        <v>613.75330602185022</v>
      </c>
    </row>
    <row r="147" spans="1:10" ht="14.25" x14ac:dyDescent="0.45">
      <c r="A147" s="296">
        <v>2012</v>
      </c>
      <c r="B147" s="297">
        <v>4.8816152250759776E-2</v>
      </c>
      <c r="C147" s="297">
        <v>7.1144259312007865E-2</v>
      </c>
      <c r="D147" s="297">
        <v>7.7309186464221129E-4</v>
      </c>
      <c r="E147" s="297">
        <v>0.20018977364950843</v>
      </c>
      <c r="F147" s="298">
        <v>526.06738121827448</v>
      </c>
    </row>
    <row r="148" spans="1:10" ht="14.25" x14ac:dyDescent="0.45">
      <c r="A148" s="296">
        <v>2013</v>
      </c>
      <c r="B148" s="297">
        <v>3.8755096267354343E-2</v>
      </c>
      <c r="C148" s="297">
        <v>6.3071318991212141E-2</v>
      </c>
      <c r="D148" s="297">
        <v>1.1627071350355234E-3</v>
      </c>
      <c r="E148" s="297">
        <v>0.2005793889199019</v>
      </c>
      <c r="F148" s="298">
        <v>510.21124338764082</v>
      </c>
    </row>
    <row r="149" spans="1:10" ht="14.25" x14ac:dyDescent="0.45">
      <c r="A149" s="296">
        <v>2014</v>
      </c>
      <c r="B149" s="297">
        <v>3.1299040782874307E-2</v>
      </c>
      <c r="C149" s="297">
        <v>5.7970705517246549E-2</v>
      </c>
      <c r="D149" s="297">
        <v>1.6079059326754887E-3</v>
      </c>
      <c r="E149" s="297">
        <v>0.20102458771754186</v>
      </c>
      <c r="F149" s="298">
        <v>495.25054856648819</v>
      </c>
    </row>
    <row r="150" spans="1:10" ht="14.25" x14ac:dyDescent="0.45">
      <c r="A150" s="296">
        <v>2015</v>
      </c>
      <c r="B150" s="297">
        <v>2.4249448205992497E-2</v>
      </c>
      <c r="C150" s="297">
        <v>4.9734098589233895E-2</v>
      </c>
      <c r="D150" s="297">
        <v>2.0039165249516838E-3</v>
      </c>
      <c r="E150" s="297">
        <v>0.20142059830981821</v>
      </c>
      <c r="F150" s="298">
        <v>471.02601577836469</v>
      </c>
    </row>
    <row r="151" spans="1:10" ht="14.25" x14ac:dyDescent="0.45">
      <c r="A151" s="296">
        <v>2016</v>
      </c>
      <c r="B151" s="297">
        <v>1.9225013363971543E-2</v>
      </c>
      <c r="C151" s="297">
        <v>4.413814592651278E-2</v>
      </c>
      <c r="D151" s="297">
        <v>2.2795154920815723E-3</v>
      </c>
      <c r="E151" s="297">
        <v>0.20169619727694785</v>
      </c>
      <c r="F151" s="298">
        <v>448.26191677982553</v>
      </c>
    </row>
    <row r="152" spans="1:10" ht="14.25" x14ac:dyDescent="0.45">
      <c r="A152" s="296">
        <v>2017</v>
      </c>
      <c r="B152" s="297">
        <v>1.4280631170624508E-2</v>
      </c>
      <c r="C152" s="297">
        <v>3.5421046402224002E-2</v>
      </c>
      <c r="D152" s="297">
        <v>2.3971220654977186E-3</v>
      </c>
      <c r="E152" s="297">
        <v>0.20181380385036418</v>
      </c>
      <c r="F152" s="298">
        <v>443.58559869358902</v>
      </c>
    </row>
    <row r="156" spans="1:10" ht="14.25" x14ac:dyDescent="0.45">
      <c r="A156" s="430" t="s">
        <v>265</v>
      </c>
      <c r="B156" s="431"/>
      <c r="C156" s="431"/>
      <c r="D156" s="431"/>
      <c r="E156" s="431"/>
      <c r="F156" s="431"/>
      <c r="G156" s="431"/>
      <c r="H156" s="431"/>
      <c r="I156" s="431"/>
      <c r="J156" s="431"/>
    </row>
    <row r="157" spans="1:10" ht="14.25" x14ac:dyDescent="0.45">
      <c r="A157" s="428" t="s">
        <v>266</v>
      </c>
      <c r="B157" s="428"/>
      <c r="C157" s="428"/>
      <c r="D157" s="428"/>
      <c r="E157" s="428"/>
      <c r="F157" s="428"/>
      <c r="G157" s="428"/>
      <c r="H157" s="428"/>
      <c r="I157" s="428"/>
      <c r="J157" s="428"/>
    </row>
    <row r="158" spans="1:10" x14ac:dyDescent="0.35">
      <c r="A158" s="429" t="s">
        <v>267</v>
      </c>
      <c r="B158" s="429"/>
      <c r="C158" s="429"/>
      <c r="D158" s="429"/>
      <c r="E158" s="429"/>
      <c r="F158" s="429"/>
      <c r="G158" s="429"/>
      <c r="H158" s="429"/>
      <c r="I158" s="429"/>
      <c r="J158" s="429"/>
    </row>
    <row r="159" spans="1:10" ht="12.75" thickBot="1" x14ac:dyDescent="0.4">
      <c r="A159" s="21"/>
    </row>
    <row r="160" spans="1:10" x14ac:dyDescent="0.35">
      <c r="A160" s="84" t="s">
        <v>164</v>
      </c>
      <c r="B160" s="20"/>
      <c r="C160" s="20"/>
      <c r="D160" s="20"/>
      <c r="E160" s="273"/>
    </row>
    <row r="161" spans="1:8" x14ac:dyDescent="0.35">
      <c r="A161" s="85" t="s">
        <v>97</v>
      </c>
      <c r="B161" s="3"/>
      <c r="C161" s="3"/>
      <c r="D161" s="3"/>
      <c r="E161" s="274"/>
    </row>
    <row r="162" spans="1:8" x14ac:dyDescent="0.35">
      <c r="A162" s="86"/>
      <c r="B162" s="3"/>
      <c r="C162" s="3"/>
      <c r="D162" s="3"/>
      <c r="E162" s="274"/>
    </row>
    <row r="163" spans="1:8" x14ac:dyDescent="0.35">
      <c r="A163" s="87" t="s">
        <v>98</v>
      </c>
      <c r="B163" s="80" t="s">
        <v>99</v>
      </c>
      <c r="C163" s="3"/>
      <c r="D163" s="3"/>
      <c r="E163" s="274"/>
    </row>
    <row r="164" spans="1:8" x14ac:dyDescent="0.35">
      <c r="A164" s="88" t="s">
        <v>100</v>
      </c>
      <c r="B164" s="40">
        <v>18.5</v>
      </c>
      <c r="C164" s="3"/>
      <c r="D164" s="3"/>
      <c r="E164" s="274"/>
    </row>
    <row r="165" spans="1:8" x14ac:dyDescent="0.35">
      <c r="A165" s="88" t="s">
        <v>142</v>
      </c>
      <c r="B165" s="40">
        <v>20.8</v>
      </c>
      <c r="C165" s="3" t="s">
        <v>143</v>
      </c>
      <c r="D165" s="3"/>
      <c r="E165" s="274"/>
    </row>
    <row r="166" spans="1:8" ht="12.75" thickBot="1" x14ac:dyDescent="0.4">
      <c r="A166" s="89"/>
      <c r="B166" s="90"/>
      <c r="C166" s="90"/>
      <c r="D166" s="90"/>
      <c r="E166" s="286"/>
    </row>
    <row r="167" spans="1:8" x14ac:dyDescent="0.35">
      <c r="A167" s="215"/>
      <c r="B167" s="3"/>
      <c r="C167" s="3"/>
      <c r="D167" s="3"/>
      <c r="E167" s="3"/>
    </row>
    <row r="168" spans="1:8" ht="12.75" thickBot="1" x14ac:dyDescent="0.4"/>
    <row r="169" spans="1:8" x14ac:dyDescent="0.35">
      <c r="A169" s="84" t="s">
        <v>165</v>
      </c>
      <c r="B169" s="20"/>
      <c r="C169" s="20"/>
      <c r="D169" s="20"/>
      <c r="E169" s="20"/>
      <c r="F169" s="20"/>
      <c r="G169" s="20"/>
      <c r="H169" s="273"/>
    </row>
    <row r="170" spans="1:8" x14ac:dyDescent="0.35">
      <c r="A170" s="85" t="s">
        <v>101</v>
      </c>
      <c r="B170" s="3"/>
      <c r="C170" s="3"/>
      <c r="D170" s="3"/>
      <c r="E170" s="3"/>
      <c r="F170" s="3"/>
      <c r="G170" s="3"/>
      <c r="H170" s="274"/>
    </row>
    <row r="171" spans="1:8" x14ac:dyDescent="0.35">
      <c r="A171" s="86" t="s">
        <v>102</v>
      </c>
      <c r="B171" s="3"/>
      <c r="C171" s="3"/>
      <c r="D171" s="3"/>
      <c r="E171" s="3"/>
      <c r="F171" s="3"/>
      <c r="G171" s="3"/>
      <c r="H171" s="274"/>
    </row>
    <row r="172" spans="1:8" x14ac:dyDescent="0.35">
      <c r="A172" s="93" t="s">
        <v>47</v>
      </c>
      <c r="B172" s="92" t="s">
        <v>106</v>
      </c>
      <c r="C172" s="299"/>
      <c r="D172" s="300"/>
      <c r="E172" s="91" t="s">
        <v>104</v>
      </c>
      <c r="F172" s="300"/>
      <c r="G172" s="91" t="s">
        <v>62</v>
      </c>
      <c r="H172" s="301"/>
    </row>
    <row r="173" spans="1:8" x14ac:dyDescent="0.35">
      <c r="A173" s="302"/>
      <c r="B173" s="95" t="s">
        <v>103</v>
      </c>
      <c r="C173" s="78"/>
      <c r="D173" s="213"/>
      <c r="E173" s="95" t="s">
        <v>105</v>
      </c>
      <c r="F173" s="213"/>
      <c r="G173" s="95" t="s">
        <v>105</v>
      </c>
      <c r="H173" s="160"/>
    </row>
    <row r="174" spans="1:8" x14ac:dyDescent="0.35">
      <c r="A174" s="211" t="s">
        <v>107</v>
      </c>
      <c r="B174" s="212">
        <v>1.8</v>
      </c>
      <c r="C174" s="78"/>
      <c r="D174" s="213"/>
      <c r="E174" s="212">
        <v>2.9</v>
      </c>
      <c r="F174" s="213"/>
      <c r="G174" s="214">
        <v>4</v>
      </c>
      <c r="H174" s="160"/>
    </row>
    <row r="175" spans="1:8" ht="12.75" thickBot="1" x14ac:dyDescent="0.4">
      <c r="A175" s="175"/>
      <c r="B175" s="90"/>
      <c r="C175" s="90"/>
      <c r="D175" s="90"/>
      <c r="E175" s="90"/>
      <c r="F175" s="90"/>
      <c r="G175" s="90"/>
      <c r="H175" s="286"/>
    </row>
  </sheetData>
  <mergeCells count="15">
    <mergeCell ref="A157:J157"/>
    <mergeCell ref="A158:J158"/>
    <mergeCell ref="A156:J156"/>
    <mergeCell ref="A21:I21"/>
    <mergeCell ref="A44:I44"/>
    <mergeCell ref="A55:B55"/>
    <mergeCell ref="A64:I64"/>
    <mergeCell ref="A74:B74"/>
    <mergeCell ref="A85:I85"/>
    <mergeCell ref="A108:I108"/>
    <mergeCell ref="A109:I109"/>
    <mergeCell ref="A127:I127"/>
    <mergeCell ref="A128:I128"/>
    <mergeCell ref="A133:F133"/>
    <mergeCell ref="A83:I83"/>
  </mergeCells>
  <phoneticPr fontId="14" type="noConversion"/>
  <pageMargins left="0.75" right="0.75" top="1" bottom="1" header="0.5" footer="0.5"/>
  <pageSetup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39</vt:i4>
      </vt:variant>
    </vt:vector>
  </HeadingPairs>
  <TitlesOfParts>
    <vt:vector size="44" baseType="lpstr">
      <vt:lpstr>Instructions</vt:lpstr>
      <vt:lpstr>Gen'l Info</vt:lpstr>
      <vt:lpstr>Calcs</vt:lpstr>
      <vt:lpstr>Notes &amp; Assumptions</vt:lpstr>
      <vt:lpstr>Emission Factors</vt:lpstr>
      <vt:lpstr>Annual_CO2_Emissions</vt:lpstr>
      <vt:lpstr>Annual_Emission_Reductions_ROG_NOx_PM</vt:lpstr>
      <vt:lpstr>Annual_NOx_Emissions</vt:lpstr>
      <vt:lpstr>Annual_PM_Emissions</vt:lpstr>
      <vt:lpstr>Annual_ROG_Emissions</vt:lpstr>
      <vt:lpstr>Annual_Weighted_PM_Emissions</vt:lpstr>
      <vt:lpstr>Application_Number</vt:lpstr>
      <vt:lpstr>BVMT</vt:lpstr>
      <vt:lpstr>BVMTNOxfactor</vt:lpstr>
      <vt:lpstr>BVMTPM10factor</vt:lpstr>
      <vt:lpstr>BVMTROGfactor</vt:lpstr>
      <vt:lpstr>CoFund</vt:lpstr>
      <vt:lpstr>Disadvantaged_Community_Points</vt:lpstr>
      <vt:lpstr>Lifetime_CO2_Emissions</vt:lpstr>
      <vt:lpstr>Lifetime_Emission_Reductions_ROG_NOx_PM</vt:lpstr>
      <vt:lpstr>Lifetime_NOx_Emissions</vt:lpstr>
      <vt:lpstr>Lifetime_PM_Emissions</vt:lpstr>
      <vt:lpstr>Lifetime_ROG_Emissions</vt:lpstr>
      <vt:lpstr>Lifetime_Weighted_PM_Emissions</vt:lpstr>
      <vt:lpstr>Local_Clean_Air_Planning_Points</vt:lpstr>
      <vt:lpstr>New_Vehicle_PM_Emission_Factor__gr_mi</vt:lpstr>
      <vt:lpstr>Other_Project_Attributes_Points</vt:lpstr>
      <vt:lpstr>Percent_Vehicles_Scrapped</vt:lpstr>
      <vt:lpstr>Calcs!Print_Area</vt:lpstr>
      <vt:lpstr>'Emission Factors'!Print_Area</vt:lpstr>
      <vt:lpstr>Instructions!Print_Area</vt:lpstr>
      <vt:lpstr>Project_Sponsor</vt:lpstr>
      <vt:lpstr>Project_Title</vt:lpstr>
      <vt:lpstr>Project_Type_Code</vt:lpstr>
      <vt:lpstr>Promote_Alternative_Transportation_Modes</vt:lpstr>
      <vt:lpstr>Scrap_Benefit_Percent</vt:lpstr>
      <vt:lpstr>TFCA_Cost_40_Percent</vt:lpstr>
      <vt:lpstr>TFCA_Cost_60_Percent</vt:lpstr>
      <vt:lpstr>TFCA_Cost_Effectiveness</vt:lpstr>
      <vt:lpstr>Total_Number_Vehicles_Scrapped</vt:lpstr>
      <vt:lpstr>Total_Points</vt:lpstr>
      <vt:lpstr>Total_Project_Cost</vt:lpstr>
      <vt:lpstr>Total_TFCA_Cost</vt:lpstr>
      <vt:lpstr>Yrs_Effectiveness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Hui</dc:creator>
  <cp:lastModifiedBy>Josephine Fong</cp:lastModifiedBy>
  <cp:lastPrinted>2011-12-20T18:28:33Z</cp:lastPrinted>
  <dcterms:created xsi:type="dcterms:W3CDTF">1998-03-03T01:20:13Z</dcterms:created>
  <dcterms:modified xsi:type="dcterms:W3CDTF">2019-02-22T18:39:18Z</dcterms:modified>
</cp:coreProperties>
</file>